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12" sheetId="1" state="visible" r:id="rId1"/>
  </sheets>
  <definedNames>
    <definedName name="_xlnm.Print_Area" localSheetId="0">'T-12'!$A$1:$O$46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mmm yyyy"/>
    <numFmt numFmtId="167" formatCode="#,##0_);(#,##0);&quot;-&quot;_)"/>
    <numFmt numFmtId="168" formatCode="$#,##0_);($#,##0);&quot;-&quot;_)"/>
    <numFmt numFmtId="169" formatCode="0.0%"/>
  </numFmts>
  <fonts count="8">
    <font>
      <name val="Calibri"/>
      <family val="2"/>
      <color theme="1"/>
      <sz val="11"/>
      <scheme val="minor"/>
    </font>
    <font>
      <name val="Calibri"/>
      <i val="1"/>
      <color rgb="005A5245"/>
      <sz val="10"/>
    </font>
    <font>
      <name val="Calibri"/>
      <color rgb="0014110C"/>
      <sz val="11"/>
    </font>
    <font>
      <name val="Calibri"/>
      <color rgb="001F3A68"/>
      <sz val="11"/>
    </font>
    <font>
      <name val="Calibri"/>
      <b val="1"/>
      <color rgb="00FFFFFF"/>
      <sz val="11"/>
    </font>
    <font>
      <name val="Calibri"/>
      <b val="1"/>
      <color rgb="00B8892A"/>
      <sz val="12"/>
    </font>
    <font>
      <name val="Calibri"/>
      <b val="1"/>
      <color rgb="0014110C"/>
      <sz val="11"/>
    </font>
    <font>
      <name val="Calibri"/>
      <color rgb="005A5245"/>
      <sz val="9"/>
    </font>
  </fonts>
  <fills count="4">
    <fill>
      <patternFill/>
    </fill>
    <fill>
      <patternFill patternType="gray125"/>
    </fill>
    <fill>
      <patternFill patternType="solid">
        <fgColor rgb="00F6EFDD"/>
      </patternFill>
    </fill>
    <fill>
      <patternFill patternType="solid">
        <fgColor rgb="00B8892A"/>
      </patternFill>
    </fill>
  </fills>
  <borders count="8">
    <border>
      <left/>
      <right/>
      <top/>
      <bottom/>
      <diagonal/>
    </border>
    <border>
      <bottom style="medium">
        <color rgb="00B8892A"/>
      </bottom>
    </border>
    <border>
      <left style="thin">
        <color rgb="00D9CFBA"/>
      </left>
      <right style="thin">
        <color rgb="00D9CFBA"/>
      </right>
      <top style="thin">
        <color rgb="00D9CFBA"/>
      </top>
      <bottom style="thin">
        <color rgb="00D9CFBA"/>
      </bottom>
    </border>
    <border>
      <left style="thin">
        <color rgb="00B8892A"/>
      </left>
      <right style="thin">
        <color rgb="00B8892A"/>
      </right>
      <top style="thin">
        <color rgb="00B8892A"/>
      </top>
      <bottom style="thin">
        <color rgb="00B8892A"/>
      </bottom>
    </border>
    <border>
      <bottom style="thin">
        <color rgb="00B8892A"/>
      </bottom>
    </border>
    <border>
      <left style="thin">
        <color rgb="00D9CFBA"/>
      </left>
      <right style="thin">
        <color rgb="00D9CFBA"/>
      </right>
      <top style="thin">
        <color rgb="00B8892A"/>
      </top>
      <bottom style="thin">
        <color rgb="00B8892A"/>
      </bottom>
    </border>
    <border>
      <left style="thin">
        <color rgb="00D9CFBA"/>
      </left>
      <right style="thin">
        <color rgb="00D9CFBA"/>
      </right>
      <top style="thin">
        <color rgb="00B8892A"/>
      </top>
      <bottom style="double">
        <color rgb="00B8892A"/>
      </bottom>
    </border>
    <border>
      <top style="thin">
        <color rgb="00B8892A"/>
      </top>
    </border>
  </borders>
  <cellStyleXfs count="1">
    <xf numFmtId="0" fontId="0" fillId="0" borderId="0"/>
  </cellStyleXfs>
  <cellXfs count="24">
    <xf numFmtId="0" fontId="0" fillId="0" borderId="0" pivotButton="0" quotePrefix="0" xfId="0"/>
    <xf numFmtId="0" fontId="0" fillId="0" borderId="1" applyAlignment="1" pivotButton="0" quotePrefix="0" xfId="0">
      <alignment vertical="center"/>
    </xf>
    <xf numFmtId="0" fontId="0" fillId="0" borderId="1" pivotButton="0" quotePrefix="0" xfId="0"/>
    <xf numFmtId="0" fontId="1" fillId="0" borderId="0" applyAlignment="1" pivotButton="0" quotePrefix="0" xfId="0">
      <alignment vertical="center" wrapText="1"/>
    </xf>
    <xf numFmtId="0" fontId="2" fillId="0" borderId="0" applyAlignment="1" pivotButton="0" quotePrefix="0" xfId="0">
      <alignment vertical="center"/>
    </xf>
    <xf numFmtId="0" fontId="3" fillId="2" borderId="2" applyAlignment="1" pivotButton="0" quotePrefix="0" xfId="0">
      <alignment horizontal="left" vertical="center"/>
    </xf>
    <xf numFmtId="165" fontId="3" fillId="2" borderId="2" applyAlignment="1" pivotButton="0" quotePrefix="0" xfId="0">
      <alignment horizontal="left" vertical="center"/>
    </xf>
    <xf numFmtId="3" fontId="3" fillId="2" borderId="2" applyAlignment="1" pivotButton="0" quotePrefix="0" xfId="0">
      <alignment horizontal="left" vertical="center"/>
    </xf>
    <xf numFmtId="0" fontId="2" fillId="0" borderId="2" applyAlignment="1" pivotButton="0" quotePrefix="0" xfId="0">
      <alignment horizontal="left" vertical="center"/>
    </xf>
    <xf numFmtId="0" fontId="4" fillId="3" borderId="3" applyAlignment="1" pivotButton="0" quotePrefix="0" xfId="0">
      <alignment horizontal="left" vertical="center" indent="1"/>
    </xf>
    <xf numFmtId="166" fontId="4" fillId="3"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0" borderId="4" applyAlignment="1" pivotButton="0" quotePrefix="0" xfId="0">
      <alignment vertical="bottom"/>
    </xf>
    <xf numFmtId="0" fontId="2" fillId="0" borderId="2" applyAlignment="1" pivotButton="0" quotePrefix="0" xfId="0">
      <alignment vertical="center" indent="1"/>
    </xf>
    <xf numFmtId="167" fontId="3" fillId="2" borderId="2" applyAlignment="1" pivotButton="0" quotePrefix="0" xfId="0">
      <alignment horizontal="right" vertical="center"/>
    </xf>
    <xf numFmtId="167" fontId="2" fillId="0" borderId="2" applyAlignment="1" pivotButton="0" quotePrefix="0" xfId="0">
      <alignment vertical="center"/>
    </xf>
    <xf numFmtId="0" fontId="6" fillId="0" borderId="5" applyAlignment="1" pivotButton="0" quotePrefix="0" xfId="0">
      <alignment vertical="center"/>
    </xf>
    <xf numFmtId="168" fontId="6" fillId="0" borderId="5" applyAlignment="1" pivotButton="0" quotePrefix="0" xfId="0">
      <alignment vertical="center"/>
    </xf>
    <xf numFmtId="0" fontId="6" fillId="0" borderId="6" applyAlignment="1" pivotButton="0" quotePrefix="0" xfId="0">
      <alignment vertical="center"/>
    </xf>
    <xf numFmtId="168" fontId="6" fillId="0" borderId="6" applyAlignment="1" pivotButton="0" quotePrefix="0" xfId="0">
      <alignment vertical="center"/>
    </xf>
    <xf numFmtId="0" fontId="2" fillId="0" borderId="2" applyAlignment="1" pivotButton="0" quotePrefix="0" xfId="0">
      <alignment vertical="center"/>
    </xf>
    <xf numFmtId="169" fontId="2" fillId="0" borderId="2" applyAlignment="1" pivotButton="0" quotePrefix="0" xfId="0">
      <alignment vertical="center"/>
    </xf>
    <xf numFmtId="0" fontId="7" fillId="0" borderId="7"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11</col>
      <colOff>0</colOff>
      <row>0</row>
      <rowOff>0</rowOff>
    </from>
    <ext cx="2171700" cy="3810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FFB8892A"/>
    <outlinePr summaryBelow="1" summaryRight="1"/>
    <pageSetUpPr fitToPage="1"/>
  </sheetPr>
  <dimension ref="A1:O46"/>
  <sheetViews>
    <sheetView showGridLines="0" workbookViewId="0">
      <pane xSplit="1" ySplit="11" topLeftCell="B12" activePane="bottomRight" state="frozen"/>
      <selection pane="topRight"/>
      <selection pane="bottomLeft"/>
      <selection pane="bottomRight" activeCell="A1" sqref="A1"/>
    </sheetView>
  </sheetViews>
  <sheetFormatPr baseColWidth="8" defaultRowHeight="15"/>
  <cols>
    <col width="41" customWidth="1" min="1" max="1"/>
    <col width="10.5" customWidth="1" min="2" max="2"/>
    <col width="10.5" customWidth="1" min="3" max="3"/>
    <col width="10.5" customWidth="1" min="4" max="4"/>
    <col width="10.5" customWidth="1" min="5" max="5"/>
    <col width="10.5" customWidth="1" min="6" max="6"/>
    <col width="10.5" customWidth="1" min="7" max="7"/>
    <col width="10.5" customWidth="1" min="8" max="8"/>
    <col width="10.5" customWidth="1" min="9" max="9"/>
    <col width="10.5" customWidth="1" min="10" max="10"/>
    <col width="10.5" customWidth="1" min="11" max="11"/>
    <col width="10.5" customWidth="1" min="12" max="12"/>
    <col width="10.5" customWidth="1" min="13" max="13"/>
    <col width="13" customWidth="1" min="14" max="14"/>
    <col width="12" customWidth="1" min="15" max="15"/>
  </cols>
  <sheetData>
    <row r="1" ht="38" customHeight="1">
      <c r="A1" s="1" t="inlineStr">
        <is>
          <r>
            <rPr>
              <rFont val="Calibri"/>
              <b val="1"/>
              <color rgb="FF14110C"/>
              <sz val="18"/>
            </rPr>
            <t>T-12 Operating Statement</t>
          </r>
          <r>
            <rPr>
              <rFont val="Calibri"/>
              <color rgb="FF5A5245"/>
              <sz val="10"/>
            </rPr>
            <t xml:space="preserve">     alura-t12-operating-statement.xlsx</t>
          </r>
        </is>
      </c>
      <c r="B1" s="2" t="n"/>
      <c r="C1" s="2" t="n"/>
      <c r="D1" s="2" t="n"/>
      <c r="E1" s="2" t="n"/>
      <c r="F1" s="2" t="n"/>
      <c r="G1" s="2" t="n"/>
      <c r="H1" s="2" t="n"/>
      <c r="I1" s="2" t="n"/>
      <c r="J1" s="2" t="n"/>
      <c r="K1" s="2" t="n"/>
      <c r="L1" s="2" t="n"/>
      <c r="M1" s="2" t="n"/>
      <c r="N1" s="2" t="n"/>
      <c r="O1" s="2" t="n"/>
    </row>
    <row r="2" ht="34" customHeight="1">
      <c r="A2" s="3" t="inlineStr">
        <is>
          <t>How to use: set the first month and the unit count, then type each month's actual income and expenses from your books over the shaded example figures. Enter vacancy and concessions as negative numbers. Month headings, totals, NOI, expense ratio, and per-unit figures update on their own.</t>
        </is>
      </c>
      <c r="B2" s="3" t="n"/>
      <c r="C2" s="3" t="n"/>
      <c r="D2" s="3" t="n"/>
      <c r="E2" s="3" t="n"/>
      <c r="F2" s="3" t="n"/>
      <c r="G2" s="3" t="n"/>
      <c r="H2" s="3" t="n"/>
      <c r="I2" s="3" t="n"/>
      <c r="J2" s="3" t="n"/>
      <c r="K2" s="3" t="n"/>
      <c r="L2" s="3" t="n"/>
      <c r="M2" s="3" t="n"/>
      <c r="N2" s="3" t="n"/>
      <c r="O2" s="3" t="n"/>
    </row>
    <row r="3"/>
    <row r="4">
      <c r="A4" s="4" t="inlineStr">
        <is>
          <t>Property name</t>
        </is>
      </c>
      <c r="B4" s="5" t="inlineStr">
        <is>
          <t>Example Apartments</t>
        </is>
      </c>
      <c r="C4" s="5" t="n"/>
      <c r="D4" s="5" t="n"/>
      <c r="E4" s="5" t="n"/>
      <c r="F4" s="5" t="n"/>
      <c r="G4" s="5" t="n"/>
    </row>
    <row r="5">
      <c r="A5" s="4" t="inlineStr">
        <is>
          <t>Address</t>
        </is>
      </c>
      <c r="B5" s="5" t="inlineStr">
        <is>
          <t>123 Example Street, Tampa, FL 33606</t>
        </is>
      </c>
      <c r="C5" s="5" t="n"/>
      <c r="D5" s="5" t="n"/>
      <c r="E5" s="5" t="n"/>
      <c r="F5" s="5" t="n"/>
      <c r="G5" s="5" t="n"/>
    </row>
    <row r="6">
      <c r="A6" s="4" t="inlineStr">
        <is>
          <t>First month of the 12</t>
        </is>
      </c>
      <c r="B6" s="6" t="n">
        <v>45901</v>
      </c>
      <c r="C6" s="6" t="n"/>
    </row>
    <row r="7">
      <c r="A7" s="4" t="inlineStr">
        <is>
          <t>Units</t>
        </is>
      </c>
      <c r="B7" s="7" t="n">
        <v>12</v>
      </c>
    </row>
    <row r="8">
      <c r="A8" s="4" t="inlineStr">
        <is>
          <t>Basis of figures</t>
        </is>
      </c>
      <c r="B8" s="5" t="inlineStr">
        <is>
          <t>Cash basis, from the owner's books</t>
        </is>
      </c>
      <c r="C8" s="5" t="n"/>
      <c r="D8" s="5" t="n"/>
      <c r="E8" s="5" t="n"/>
      <c r="F8" s="5" t="n"/>
      <c r="G8" s="5" t="n"/>
    </row>
    <row r="9">
      <c r="A9" s="4" t="inlineStr">
        <is>
          <t>Period covered</t>
        </is>
      </c>
      <c r="B9" s="8" t="str">
        <f>TEXT(B6,"mmm yyyy")&amp;" to "&amp;TEXT(EDATE(B6,11),"mmm yyyy")</f>
        <v>Sep 2025 to Aug 2026</v>
      </c>
      <c r="C9" s="8" t="n"/>
      <c r="D9" s="8" t="n"/>
      <c r="E9" s="8" t="n"/>
      <c r="F9" s="8" t="n"/>
      <c r="G9" s="8" t="n"/>
    </row>
    <row r="10" ht="10" customHeight="1"/>
    <row r="11" ht="32" customHeight="1">
      <c r="A11" s="9" t="inlineStr">
        <is>
          <t>Line item</t>
        </is>
      </c>
      <c r="B11" s="10">
        <f>EDATE($B$6,0)</f>
        <v>45901</v>
      </c>
      <c r="C11" s="10">
        <f>EDATE($B$6,1)</f>
        <v>45931</v>
      </c>
      <c r="D11" s="10">
        <f>EDATE($B$6,2)</f>
        <v>45962</v>
      </c>
      <c r="E11" s="10">
        <f>EDATE($B$6,3)</f>
        <v>45992</v>
      </c>
      <c r="F11" s="10">
        <f>EDATE($B$6,4)</f>
        <v>46023</v>
      </c>
      <c r="G11" s="10">
        <f>EDATE($B$6,5)</f>
        <v>46054</v>
      </c>
      <c r="H11" s="10">
        <f>EDATE($B$6,6)</f>
        <v>46082</v>
      </c>
      <c r="I11" s="10">
        <f>EDATE($B$6,7)</f>
        <v>46113</v>
      </c>
      <c r="J11" s="10">
        <f>EDATE($B$6,8)</f>
        <v>46143</v>
      </c>
      <c r="K11" s="10">
        <f>EDATE($B$6,9)</f>
        <v>46174</v>
      </c>
      <c r="L11" s="10">
        <f>EDATE($B$6,10)</f>
        <v>46204</v>
      </c>
      <c r="M11" s="10">
        <f>EDATE($B$6,11)</f>
        <v>46235</v>
      </c>
      <c r="N11" s="11" t="inlineStr">
        <is>
          <t>12-month total</t>
        </is>
      </c>
      <c r="O11" s="11" t="inlineStr">
        <is>
          <t>Per unit (annual)</t>
        </is>
      </c>
    </row>
    <row r="12">
      <c r="A12" s="12" t="inlineStr">
        <is>
          <t>INCOME</t>
        </is>
      </c>
      <c r="B12" s="12" t="n"/>
      <c r="C12" s="12" t="n"/>
      <c r="D12" s="12" t="n"/>
      <c r="E12" s="12" t="n"/>
      <c r="F12" s="12" t="n"/>
      <c r="G12" s="12" t="n"/>
      <c r="H12" s="12" t="n"/>
      <c r="I12" s="12" t="n"/>
      <c r="J12" s="12" t="n"/>
      <c r="K12" s="12" t="n"/>
      <c r="L12" s="12" t="n"/>
      <c r="M12" s="12" t="n"/>
      <c r="N12" s="12" t="n"/>
      <c r="O12" s="12" t="n"/>
    </row>
    <row r="13">
      <c r="A13" s="13" t="inlineStr">
        <is>
          <t>Gross potential rent</t>
        </is>
      </c>
      <c r="B13" s="14" t="n">
        <v>19350</v>
      </c>
      <c r="C13" s="14" t="n">
        <v>19350</v>
      </c>
      <c r="D13" s="14" t="n">
        <v>19350</v>
      </c>
      <c r="E13" s="14" t="n">
        <v>19350</v>
      </c>
      <c r="F13" s="14" t="n">
        <v>19350</v>
      </c>
      <c r="G13" s="14" t="n">
        <v>19350</v>
      </c>
      <c r="H13" s="14" t="n">
        <v>19550</v>
      </c>
      <c r="I13" s="14" t="n">
        <v>19550</v>
      </c>
      <c r="J13" s="14" t="n">
        <v>19550</v>
      </c>
      <c r="K13" s="14" t="n">
        <v>19550</v>
      </c>
      <c r="L13" s="14" t="n">
        <v>19550</v>
      </c>
      <c r="M13" s="14" t="n">
        <v>19550</v>
      </c>
      <c r="N13" s="15">
        <f>SUM(B13:M13)</f>
        <v>233400</v>
      </c>
      <c r="O13" s="15">
        <f>IF($B$7=0,0,N13/$B$7)</f>
        <v>19450</v>
      </c>
    </row>
    <row r="14">
      <c r="A14" s="13" t="inlineStr">
        <is>
          <t>Vacancy and credit loss</t>
        </is>
      </c>
      <c r="B14" s="14" t="n">
        <v>-1650</v>
      </c>
      <c r="C14" s="14" t="n">
        <v>-825</v>
      </c>
      <c r="D14" s="14" t="n">
        <v>-400</v>
      </c>
      <c r="E14" s="14" t="n">
        <v>-1700</v>
      </c>
      <c r="F14" s="14" t="n">
        <v>-1650</v>
      </c>
      <c r="G14" s="14" t="n">
        <v>-350</v>
      </c>
      <c r="H14" s="14" t="n">
        <v>-900</v>
      </c>
      <c r="I14" s="14" t="n">
        <v>-1700</v>
      </c>
      <c r="J14" s="14" t="n">
        <v>-425</v>
      </c>
      <c r="K14" s="14" t="n">
        <v>-600</v>
      </c>
      <c r="L14" s="14" t="n">
        <v>-1250</v>
      </c>
      <c r="M14" s="14" t="n">
        <v>-1700</v>
      </c>
      <c r="N14" s="15">
        <f>SUM(B14:M14)</f>
        <v>-13150</v>
      </c>
      <c r="O14" s="15">
        <f>IF($B$7=0,0,N14/$B$7)</f>
        <v>-1095.8333333333333</v>
      </c>
    </row>
    <row r="15">
      <c r="A15" s="13" t="inlineStr">
        <is>
          <t>Concessions</t>
        </is>
      </c>
      <c r="B15" s="14" t="n">
        <v>0</v>
      </c>
      <c r="C15" s="14" t="n">
        <v>-500</v>
      </c>
      <c r="D15" s="14" t="n">
        <v>0</v>
      </c>
      <c r="E15" s="14" t="n">
        <v>0</v>
      </c>
      <c r="F15" s="14" t="n">
        <v>-250</v>
      </c>
      <c r="G15" s="14" t="n">
        <v>0</v>
      </c>
      <c r="H15" s="14" t="n">
        <v>0</v>
      </c>
      <c r="I15" s="14" t="n">
        <v>-500</v>
      </c>
      <c r="J15" s="14" t="n">
        <v>0</v>
      </c>
      <c r="K15" s="14" t="n">
        <v>0</v>
      </c>
      <c r="L15" s="14" t="n">
        <v>0</v>
      </c>
      <c r="M15" s="14" t="n">
        <v>-250</v>
      </c>
      <c r="N15" s="15">
        <f>SUM(B15:M15)</f>
        <v>-1500</v>
      </c>
      <c r="O15" s="15">
        <f>IF($B$7=0,0,N15/$B$7)</f>
        <v>-125</v>
      </c>
    </row>
    <row r="16">
      <c r="A16" s="13" t="inlineStr">
        <is>
          <t>Other income: laundry</t>
        </is>
      </c>
      <c r="B16" s="14" t="n">
        <v>285</v>
      </c>
      <c r="C16" s="14" t="n">
        <v>270</v>
      </c>
      <c r="D16" s="14" t="n">
        <v>290</v>
      </c>
      <c r="E16" s="14" t="n">
        <v>300</v>
      </c>
      <c r="F16" s="14" t="n">
        <v>275</v>
      </c>
      <c r="G16" s="14" t="n">
        <v>280</v>
      </c>
      <c r="H16" s="14" t="n">
        <v>295</v>
      </c>
      <c r="I16" s="14" t="n">
        <v>290</v>
      </c>
      <c r="J16" s="14" t="n">
        <v>285</v>
      </c>
      <c r="K16" s="14" t="n">
        <v>300</v>
      </c>
      <c r="L16" s="14" t="n">
        <v>310</v>
      </c>
      <c r="M16" s="14" t="n">
        <v>305</v>
      </c>
      <c r="N16" s="15">
        <f>SUM(B16:M16)</f>
        <v>3485</v>
      </c>
      <c r="O16" s="15">
        <f>IF($B$7=0,0,N16/$B$7)</f>
        <v>290.4166666666667</v>
      </c>
    </row>
    <row r="17">
      <c r="A17" s="13" t="inlineStr">
        <is>
          <t>Other income: parking</t>
        </is>
      </c>
      <c r="B17" s="14" t="n">
        <v>150</v>
      </c>
      <c r="C17" s="14" t="n">
        <v>150</v>
      </c>
      <c r="D17" s="14" t="n">
        <v>150</v>
      </c>
      <c r="E17" s="14" t="n">
        <v>150</v>
      </c>
      <c r="F17" s="14" t="n">
        <v>150</v>
      </c>
      <c r="G17" s="14" t="n">
        <v>150</v>
      </c>
      <c r="H17" s="14" t="n">
        <v>150</v>
      </c>
      <c r="I17" s="14" t="n">
        <v>150</v>
      </c>
      <c r="J17" s="14" t="n">
        <v>150</v>
      </c>
      <c r="K17" s="14" t="n">
        <v>150</v>
      </c>
      <c r="L17" s="14" t="n">
        <v>150</v>
      </c>
      <c r="M17" s="14" t="n">
        <v>150</v>
      </c>
      <c r="N17" s="15">
        <f>SUM(B17:M17)</f>
        <v>1800</v>
      </c>
      <c r="O17" s="15">
        <f>IF($B$7=0,0,N17/$B$7)</f>
        <v>150</v>
      </c>
    </row>
    <row r="18">
      <c r="A18" s="13" t="inlineStr">
        <is>
          <t>Other income: fees (late, pet, application)</t>
        </is>
      </c>
      <c r="B18" s="14" t="n">
        <v>225</v>
      </c>
      <c r="C18" s="14" t="n">
        <v>180</v>
      </c>
      <c r="D18" s="14" t="n">
        <v>310</v>
      </c>
      <c r="E18" s="14" t="n">
        <v>150</v>
      </c>
      <c r="F18" s="14" t="n">
        <v>275</v>
      </c>
      <c r="G18" s="14" t="n">
        <v>190</v>
      </c>
      <c r="H18" s="14" t="n">
        <v>240</v>
      </c>
      <c r="I18" s="14" t="n">
        <v>325</v>
      </c>
      <c r="J18" s="14" t="n">
        <v>205</v>
      </c>
      <c r="K18" s="14" t="n">
        <v>260</v>
      </c>
      <c r="L18" s="14" t="n">
        <v>230</v>
      </c>
      <c r="M18" s="14" t="n">
        <v>210</v>
      </c>
      <c r="N18" s="15">
        <f>SUM(B18:M18)</f>
        <v>2800</v>
      </c>
      <c r="O18" s="15">
        <f>IF($B$7=0,0,N18/$B$7)</f>
        <v>233.33333333333334</v>
      </c>
    </row>
    <row r="19">
      <c r="A19" s="16" t="inlineStr">
        <is>
          <t>Effective gross income</t>
        </is>
      </c>
      <c r="B19" s="17">
        <f>SUM(B13:B18)</f>
        <v>18360</v>
      </c>
      <c r="C19" s="17">
        <f>SUM(C13:C18)</f>
        <v>18625</v>
      </c>
      <c r="D19" s="17">
        <f>SUM(D13:D18)</f>
        <v>19700</v>
      </c>
      <c r="E19" s="17">
        <f>SUM(E13:E18)</f>
        <v>18250</v>
      </c>
      <c r="F19" s="17">
        <f>SUM(F13:F18)</f>
        <v>18150</v>
      </c>
      <c r="G19" s="17">
        <f>SUM(G13:G18)</f>
        <v>19620</v>
      </c>
      <c r="H19" s="17">
        <f>SUM(H13:H18)</f>
        <v>19335</v>
      </c>
      <c r="I19" s="17">
        <f>SUM(I13:I18)</f>
        <v>18115</v>
      </c>
      <c r="J19" s="17">
        <f>SUM(J13:J18)</f>
        <v>19765</v>
      </c>
      <c r="K19" s="17">
        <f>SUM(K13:K18)</f>
        <v>19660</v>
      </c>
      <c r="L19" s="17">
        <f>SUM(L13:L18)</f>
        <v>18990</v>
      </c>
      <c r="M19" s="17">
        <f>SUM(M13:M18)</f>
        <v>18265</v>
      </c>
      <c r="N19" s="17">
        <f>SUM(B19:M19)</f>
        <v>226835</v>
      </c>
      <c r="O19" s="17">
        <f>IF($B$7=0,0,N19/$B$7)</f>
        <v>18902.916666666668</v>
      </c>
    </row>
    <row r="20" ht="10" customHeight="1"/>
    <row r="21">
      <c r="A21" s="12" t="inlineStr">
        <is>
          <t>OPERATING EXPENSES</t>
        </is>
      </c>
      <c r="B21" s="12" t="n"/>
      <c r="C21" s="12" t="n"/>
      <c r="D21" s="12" t="n"/>
      <c r="E21" s="12" t="n"/>
      <c r="F21" s="12" t="n"/>
      <c r="G21" s="12" t="n"/>
      <c r="H21" s="12" t="n"/>
      <c r="I21" s="12" t="n"/>
      <c r="J21" s="12" t="n"/>
      <c r="K21" s="12" t="n"/>
      <c r="L21" s="12" t="n"/>
      <c r="M21" s="12" t="n"/>
      <c r="N21" s="12" t="n"/>
      <c r="O21" s="12" t="n"/>
    </row>
    <row r="22">
      <c r="A22" s="13" t="inlineStr">
        <is>
          <t>Property taxes</t>
        </is>
      </c>
      <c r="B22" s="14" t="n">
        <v>2450</v>
      </c>
      <c r="C22" s="14" t="n">
        <v>2450</v>
      </c>
      <c r="D22" s="14" t="n">
        <v>2450</v>
      </c>
      <c r="E22" s="14" t="n">
        <v>2450</v>
      </c>
      <c r="F22" s="14" t="n">
        <v>2450</v>
      </c>
      <c r="G22" s="14" t="n">
        <v>2450</v>
      </c>
      <c r="H22" s="14" t="n">
        <v>2450</v>
      </c>
      <c r="I22" s="14" t="n">
        <v>2450</v>
      </c>
      <c r="J22" s="14" t="n">
        <v>2450</v>
      </c>
      <c r="K22" s="14" t="n">
        <v>2450</v>
      </c>
      <c r="L22" s="14" t="n">
        <v>2450</v>
      </c>
      <c r="M22" s="14" t="n">
        <v>2450</v>
      </c>
      <c r="N22" s="15">
        <f>SUM(B22:M22)</f>
        <v>29400</v>
      </c>
      <c r="O22" s="15">
        <f>IF($B$7=0,0,N22/$B$7)</f>
        <v>2450</v>
      </c>
    </row>
    <row r="23">
      <c r="A23" s="13" t="inlineStr">
        <is>
          <t>Insurance</t>
        </is>
      </c>
      <c r="B23" s="14" t="n">
        <v>2000</v>
      </c>
      <c r="C23" s="14" t="n">
        <v>2000</v>
      </c>
      <c r="D23" s="14" t="n">
        <v>2000</v>
      </c>
      <c r="E23" s="14" t="n">
        <v>2000</v>
      </c>
      <c r="F23" s="14" t="n">
        <v>2000</v>
      </c>
      <c r="G23" s="14" t="n">
        <v>2000</v>
      </c>
      <c r="H23" s="14" t="n">
        <v>2000</v>
      </c>
      <c r="I23" s="14" t="n">
        <v>2000</v>
      </c>
      <c r="J23" s="14" t="n">
        <v>2000</v>
      </c>
      <c r="K23" s="14" t="n">
        <v>2000</v>
      </c>
      <c r="L23" s="14" t="n">
        <v>2000</v>
      </c>
      <c r="M23" s="14" t="n">
        <v>2000</v>
      </c>
      <c r="N23" s="15">
        <f>SUM(B23:M23)</f>
        <v>24000</v>
      </c>
      <c r="O23" s="15">
        <f>IF($B$7=0,0,N23/$B$7)</f>
        <v>2000</v>
      </c>
    </row>
    <row r="24">
      <c r="A24" s="13" t="inlineStr">
        <is>
          <t>Utilities: water and sewer</t>
        </is>
      </c>
      <c r="B24" s="14" t="n">
        <v>880</v>
      </c>
      <c r="C24" s="14" t="n">
        <v>910</v>
      </c>
      <c r="D24" s="14" t="n">
        <v>870</v>
      </c>
      <c r="E24" s="14" t="n">
        <v>860</v>
      </c>
      <c r="F24" s="14" t="n">
        <v>850</v>
      </c>
      <c r="G24" s="14" t="n">
        <v>870</v>
      </c>
      <c r="H24" s="14" t="n">
        <v>900</v>
      </c>
      <c r="I24" s="14" t="n">
        <v>920</v>
      </c>
      <c r="J24" s="14" t="n">
        <v>940</v>
      </c>
      <c r="K24" s="14" t="n">
        <v>950</v>
      </c>
      <c r="L24" s="14" t="n">
        <v>960</v>
      </c>
      <c r="M24" s="14" t="n">
        <v>940</v>
      </c>
      <c r="N24" s="15">
        <f>SUM(B24:M24)</f>
        <v>10850</v>
      </c>
      <c r="O24" s="15">
        <f>IF($B$7=0,0,N24/$B$7)</f>
        <v>904.1666666666666</v>
      </c>
    </row>
    <row r="25">
      <c r="A25" s="13" t="inlineStr">
        <is>
          <t>Utilities: electric</t>
        </is>
      </c>
      <c r="B25" s="14" t="n">
        <v>240</v>
      </c>
      <c r="C25" s="14" t="n">
        <v>220</v>
      </c>
      <c r="D25" s="14" t="n">
        <v>190</v>
      </c>
      <c r="E25" s="14" t="n">
        <v>185</v>
      </c>
      <c r="F25" s="14" t="n">
        <v>180</v>
      </c>
      <c r="G25" s="14" t="n">
        <v>190</v>
      </c>
      <c r="H25" s="14" t="n">
        <v>210</v>
      </c>
      <c r="I25" s="14" t="n">
        <v>235</v>
      </c>
      <c r="J25" s="14" t="n">
        <v>260</v>
      </c>
      <c r="K25" s="14" t="n">
        <v>280</v>
      </c>
      <c r="L25" s="14" t="n">
        <v>295</v>
      </c>
      <c r="M25" s="14" t="n">
        <v>290</v>
      </c>
      <c r="N25" s="15">
        <f>SUM(B25:M25)</f>
        <v>2775</v>
      </c>
      <c r="O25" s="15">
        <f>IF($B$7=0,0,N25/$B$7)</f>
        <v>231.25</v>
      </c>
    </row>
    <row r="26">
      <c r="A26" s="13" t="inlineStr">
        <is>
          <t>Utilities: gas</t>
        </is>
      </c>
      <c r="B26" s="14" t="n">
        <v>35</v>
      </c>
      <c r="C26" s="14" t="n">
        <v>40</v>
      </c>
      <c r="D26" s="14" t="n">
        <v>55</v>
      </c>
      <c r="E26" s="14" t="n">
        <v>70</v>
      </c>
      <c r="F26" s="14" t="n">
        <v>75</v>
      </c>
      <c r="G26" s="14" t="n">
        <v>65</v>
      </c>
      <c r="H26" s="14" t="n">
        <v>50</v>
      </c>
      <c r="I26" s="14" t="n">
        <v>40</v>
      </c>
      <c r="J26" s="14" t="n">
        <v>35</v>
      </c>
      <c r="K26" s="14" t="n">
        <v>30</v>
      </c>
      <c r="L26" s="14" t="n">
        <v>30</v>
      </c>
      <c r="M26" s="14" t="n">
        <v>30</v>
      </c>
      <c r="N26" s="15">
        <f>SUM(B26:M26)</f>
        <v>555</v>
      </c>
      <c r="O26" s="15">
        <f>IF($B$7=0,0,N26/$B$7)</f>
        <v>46.25</v>
      </c>
    </row>
    <row r="27">
      <c r="A27" s="13" t="inlineStr">
        <is>
          <t>Utilities: trash</t>
        </is>
      </c>
      <c r="B27" s="14" t="n">
        <v>325</v>
      </c>
      <c r="C27" s="14" t="n">
        <v>325</v>
      </c>
      <c r="D27" s="14" t="n">
        <v>325</v>
      </c>
      <c r="E27" s="14" t="n">
        <v>325</v>
      </c>
      <c r="F27" s="14" t="n">
        <v>325</v>
      </c>
      <c r="G27" s="14" t="n">
        <v>325</v>
      </c>
      <c r="H27" s="14" t="n">
        <v>325</v>
      </c>
      <c r="I27" s="14" t="n">
        <v>325</v>
      </c>
      <c r="J27" s="14" t="n">
        <v>325</v>
      </c>
      <c r="K27" s="14" t="n">
        <v>325</v>
      </c>
      <c r="L27" s="14" t="n">
        <v>325</v>
      </c>
      <c r="M27" s="14" t="n">
        <v>325</v>
      </c>
      <c r="N27" s="15">
        <f>SUM(B27:M27)</f>
        <v>3900</v>
      </c>
      <c r="O27" s="15">
        <f>IF($B$7=0,0,N27/$B$7)</f>
        <v>325</v>
      </c>
    </row>
    <row r="28">
      <c r="A28" s="13" t="inlineStr">
        <is>
          <t>Repairs and maintenance</t>
        </is>
      </c>
      <c r="B28" s="14" t="n">
        <v>650</v>
      </c>
      <c r="C28" s="14" t="n">
        <v>1200</v>
      </c>
      <c r="D28" s="14" t="n">
        <v>480</v>
      </c>
      <c r="E28" s="14" t="n">
        <v>900</v>
      </c>
      <c r="F28" s="14" t="n">
        <v>725</v>
      </c>
      <c r="G28" s="14" t="n">
        <v>1500</v>
      </c>
      <c r="H28" s="14" t="n">
        <v>560</v>
      </c>
      <c r="I28" s="14" t="n">
        <v>830</v>
      </c>
      <c r="J28" s="14" t="n">
        <v>1100</v>
      </c>
      <c r="K28" s="14" t="n">
        <v>640</v>
      </c>
      <c r="L28" s="14" t="n">
        <v>950</v>
      </c>
      <c r="M28" s="14" t="n">
        <v>780</v>
      </c>
      <c r="N28" s="15">
        <f>SUM(B28:M28)</f>
        <v>10315</v>
      </c>
      <c r="O28" s="15">
        <f>IF($B$7=0,0,N28/$B$7)</f>
        <v>859.5833333333334</v>
      </c>
    </row>
    <row r="29">
      <c r="A29" s="13" t="inlineStr">
        <is>
          <t>Turnover</t>
        </is>
      </c>
      <c r="B29" s="14" t="n">
        <v>0</v>
      </c>
      <c r="C29" s="14" t="n">
        <v>1850</v>
      </c>
      <c r="D29" s="14" t="n">
        <v>0</v>
      </c>
      <c r="E29" s="14" t="n">
        <v>0</v>
      </c>
      <c r="F29" s="14" t="n">
        <v>1600</v>
      </c>
      <c r="G29" s="14" t="n">
        <v>0</v>
      </c>
      <c r="H29" s="14" t="n">
        <v>0</v>
      </c>
      <c r="I29" s="14" t="n">
        <v>2100</v>
      </c>
      <c r="J29" s="14" t="n">
        <v>0</v>
      </c>
      <c r="K29" s="14" t="n">
        <v>0</v>
      </c>
      <c r="L29" s="14" t="n">
        <v>0</v>
      </c>
      <c r="M29" s="14" t="n">
        <v>1750</v>
      </c>
      <c r="N29" s="15">
        <f>SUM(B29:M29)</f>
        <v>7300</v>
      </c>
      <c r="O29" s="15">
        <f>IF($B$7=0,0,N29/$B$7)</f>
        <v>608.3333333333334</v>
      </c>
    </row>
    <row r="30">
      <c r="A30" s="13" t="inlineStr">
        <is>
          <t>Landscaping</t>
        </is>
      </c>
      <c r="B30" s="14" t="n">
        <v>275</v>
      </c>
      <c r="C30" s="14" t="n">
        <v>275</v>
      </c>
      <c r="D30" s="14" t="n">
        <v>275</v>
      </c>
      <c r="E30" s="14" t="n">
        <v>275</v>
      </c>
      <c r="F30" s="14" t="n">
        <v>275</v>
      </c>
      <c r="G30" s="14" t="n">
        <v>275</v>
      </c>
      <c r="H30" s="14" t="n">
        <v>275</v>
      </c>
      <c r="I30" s="14" t="n">
        <v>275</v>
      </c>
      <c r="J30" s="14" t="n">
        <v>275</v>
      </c>
      <c r="K30" s="14" t="n">
        <v>275</v>
      </c>
      <c r="L30" s="14" t="n">
        <v>275</v>
      </c>
      <c r="M30" s="14" t="n">
        <v>275</v>
      </c>
      <c r="N30" s="15">
        <f>SUM(B30:M30)</f>
        <v>3300</v>
      </c>
      <c r="O30" s="15">
        <f>IF($B$7=0,0,N30/$B$7)</f>
        <v>275</v>
      </c>
    </row>
    <row r="31">
      <c r="A31" s="13" t="inlineStr">
        <is>
          <t>Pest control</t>
        </is>
      </c>
      <c r="B31" s="14" t="n">
        <v>110</v>
      </c>
      <c r="C31" s="14" t="n">
        <v>110</v>
      </c>
      <c r="D31" s="14" t="n">
        <v>110</v>
      </c>
      <c r="E31" s="14" t="n">
        <v>110</v>
      </c>
      <c r="F31" s="14" t="n">
        <v>110</v>
      </c>
      <c r="G31" s="14" t="n">
        <v>110</v>
      </c>
      <c r="H31" s="14" t="n">
        <v>110</v>
      </c>
      <c r="I31" s="14" t="n">
        <v>110</v>
      </c>
      <c r="J31" s="14" t="n">
        <v>110</v>
      </c>
      <c r="K31" s="14" t="n">
        <v>110</v>
      </c>
      <c r="L31" s="14" t="n">
        <v>110</v>
      </c>
      <c r="M31" s="14" t="n">
        <v>110</v>
      </c>
      <c r="N31" s="15">
        <f>SUM(B31:M31)</f>
        <v>1320</v>
      </c>
      <c r="O31" s="15">
        <f>IF($B$7=0,0,N31/$B$7)</f>
        <v>110</v>
      </c>
    </row>
    <row r="32">
      <c r="A32" s="13" t="inlineStr">
        <is>
          <t>Management fee</t>
        </is>
      </c>
      <c r="B32" s="14" t="n">
        <v>1469</v>
      </c>
      <c r="C32" s="14" t="n">
        <v>1490</v>
      </c>
      <c r="D32" s="14" t="n">
        <v>1576</v>
      </c>
      <c r="E32" s="14" t="n">
        <v>1460</v>
      </c>
      <c r="F32" s="14" t="n">
        <v>1452</v>
      </c>
      <c r="G32" s="14" t="n">
        <v>1570</v>
      </c>
      <c r="H32" s="14" t="n">
        <v>1547</v>
      </c>
      <c r="I32" s="14" t="n">
        <v>1449</v>
      </c>
      <c r="J32" s="14" t="n">
        <v>1581</v>
      </c>
      <c r="K32" s="14" t="n">
        <v>1573</v>
      </c>
      <c r="L32" s="14" t="n">
        <v>1519</v>
      </c>
      <c r="M32" s="14" t="n">
        <v>1461</v>
      </c>
      <c r="N32" s="15">
        <f>SUM(B32:M32)</f>
        <v>18147</v>
      </c>
      <c r="O32" s="15">
        <f>IF($B$7=0,0,N32/$B$7)</f>
        <v>1512.25</v>
      </c>
    </row>
    <row r="33">
      <c r="A33" s="13" t="inlineStr">
        <is>
          <t>Payroll</t>
        </is>
      </c>
      <c r="B33" s="14" t="n">
        <v>350</v>
      </c>
      <c r="C33" s="14" t="n">
        <v>350</v>
      </c>
      <c r="D33" s="14" t="n">
        <v>350</v>
      </c>
      <c r="E33" s="14" t="n">
        <v>350</v>
      </c>
      <c r="F33" s="14" t="n">
        <v>350</v>
      </c>
      <c r="G33" s="14" t="n">
        <v>350</v>
      </c>
      <c r="H33" s="14" t="n">
        <v>350</v>
      </c>
      <c r="I33" s="14" t="n">
        <v>350</v>
      </c>
      <c r="J33" s="14" t="n">
        <v>350</v>
      </c>
      <c r="K33" s="14" t="n">
        <v>350</v>
      </c>
      <c r="L33" s="14" t="n">
        <v>350</v>
      </c>
      <c r="M33" s="14" t="n">
        <v>350</v>
      </c>
      <c r="N33" s="15">
        <f>SUM(B33:M33)</f>
        <v>4200</v>
      </c>
      <c r="O33" s="15">
        <f>IF($B$7=0,0,N33/$B$7)</f>
        <v>350</v>
      </c>
    </row>
    <row r="34">
      <c r="A34" s="13" t="inlineStr">
        <is>
          <t>Admin and legal</t>
        </is>
      </c>
      <c r="B34" s="14" t="n">
        <v>85</v>
      </c>
      <c r="C34" s="14" t="n">
        <v>60</v>
      </c>
      <c r="D34" s="14" t="n">
        <v>350</v>
      </c>
      <c r="E34" s="14" t="n">
        <v>75</v>
      </c>
      <c r="F34" s="14" t="n">
        <v>90</v>
      </c>
      <c r="G34" s="14" t="n">
        <v>65</v>
      </c>
      <c r="H34" s="14" t="n">
        <v>80</v>
      </c>
      <c r="I34" s="14" t="n">
        <v>450</v>
      </c>
      <c r="J34" s="14" t="n">
        <v>70</v>
      </c>
      <c r="K34" s="14" t="n">
        <v>85</v>
      </c>
      <c r="L34" s="14" t="n">
        <v>60</v>
      </c>
      <c r="M34" s="14" t="n">
        <v>95</v>
      </c>
      <c r="N34" s="15">
        <f>SUM(B34:M34)</f>
        <v>1565</v>
      </c>
      <c r="O34" s="15">
        <f>IF($B$7=0,0,N34/$B$7)</f>
        <v>130.41666666666666</v>
      </c>
    </row>
    <row r="35">
      <c r="A35" s="13" t="inlineStr">
        <is>
          <t>Marketing</t>
        </is>
      </c>
      <c r="B35" s="14" t="n">
        <v>45</v>
      </c>
      <c r="C35" s="14" t="n">
        <v>150</v>
      </c>
      <c r="D35" s="14" t="n">
        <v>45</v>
      </c>
      <c r="E35" s="14" t="n">
        <v>45</v>
      </c>
      <c r="F35" s="14" t="n">
        <v>125</v>
      </c>
      <c r="G35" s="14" t="n">
        <v>45</v>
      </c>
      <c r="H35" s="14" t="n">
        <v>45</v>
      </c>
      <c r="I35" s="14" t="n">
        <v>175</v>
      </c>
      <c r="J35" s="14" t="n">
        <v>45</v>
      </c>
      <c r="K35" s="14" t="n">
        <v>45</v>
      </c>
      <c r="L35" s="14" t="n">
        <v>45</v>
      </c>
      <c r="M35" s="14" t="n">
        <v>150</v>
      </c>
      <c r="N35" s="15">
        <f>SUM(B35:M35)</f>
        <v>960</v>
      </c>
      <c r="O35" s="15">
        <f>IF($B$7=0,0,N35/$B$7)</f>
        <v>80</v>
      </c>
    </row>
    <row r="36">
      <c r="A36" s="13" t="inlineStr">
        <is>
          <t>Reserves for replacement</t>
        </is>
      </c>
      <c r="B36" s="14" t="n">
        <v>250</v>
      </c>
      <c r="C36" s="14" t="n">
        <v>250</v>
      </c>
      <c r="D36" s="14" t="n">
        <v>250</v>
      </c>
      <c r="E36" s="14" t="n">
        <v>250</v>
      </c>
      <c r="F36" s="14" t="n">
        <v>250</v>
      </c>
      <c r="G36" s="14" t="n">
        <v>250</v>
      </c>
      <c r="H36" s="14" t="n">
        <v>250</v>
      </c>
      <c r="I36" s="14" t="n">
        <v>250</v>
      </c>
      <c r="J36" s="14" t="n">
        <v>250</v>
      </c>
      <c r="K36" s="14" t="n">
        <v>250</v>
      </c>
      <c r="L36" s="14" t="n">
        <v>250</v>
      </c>
      <c r="M36" s="14" t="n">
        <v>250</v>
      </c>
      <c r="N36" s="15">
        <f>SUM(B36:M36)</f>
        <v>3000</v>
      </c>
      <c r="O36" s="15">
        <f>IF($B$7=0,0,N36/$B$7)</f>
        <v>250</v>
      </c>
    </row>
    <row r="37">
      <c r="A37" s="13" t="inlineStr">
        <is>
          <t>Other operating expenses</t>
        </is>
      </c>
      <c r="B37" s="14" t="n">
        <v>0</v>
      </c>
      <c r="C37" s="14" t="n">
        <v>0</v>
      </c>
      <c r="D37" s="14" t="n">
        <v>0</v>
      </c>
      <c r="E37" s="14" t="n">
        <v>0</v>
      </c>
      <c r="F37" s="14" t="n">
        <v>0</v>
      </c>
      <c r="G37" s="14" t="n">
        <v>0</v>
      </c>
      <c r="H37" s="14" t="n">
        <v>0</v>
      </c>
      <c r="I37" s="14" t="n">
        <v>0</v>
      </c>
      <c r="J37" s="14" t="n">
        <v>0</v>
      </c>
      <c r="K37" s="14" t="n">
        <v>0</v>
      </c>
      <c r="L37" s="14" t="n">
        <v>0</v>
      </c>
      <c r="M37" s="14" t="n">
        <v>0</v>
      </c>
      <c r="N37" s="15">
        <f>SUM(B37:M37)</f>
        <v>0</v>
      </c>
      <c r="O37" s="15">
        <f>IF($B$7=0,0,N37/$B$7)</f>
        <v>0</v>
      </c>
    </row>
    <row r="38">
      <c r="A38" s="16" t="inlineStr">
        <is>
          <t>Total operating expenses</t>
        </is>
      </c>
      <c r="B38" s="17">
        <f>SUM(B22:B37)</f>
        <v>9164</v>
      </c>
      <c r="C38" s="17">
        <f>SUM(C22:C37)</f>
        <v>11680</v>
      </c>
      <c r="D38" s="17">
        <f>SUM(D22:D37)</f>
        <v>9326</v>
      </c>
      <c r="E38" s="17">
        <f>SUM(E22:E37)</f>
        <v>9355</v>
      </c>
      <c r="F38" s="17">
        <f>SUM(F22:F37)</f>
        <v>10857</v>
      </c>
      <c r="G38" s="17">
        <f>SUM(G22:G37)</f>
        <v>10065</v>
      </c>
      <c r="H38" s="17">
        <f>SUM(H22:H37)</f>
        <v>9152</v>
      </c>
      <c r="I38" s="17">
        <f>SUM(I22:I37)</f>
        <v>11959</v>
      </c>
      <c r="J38" s="17">
        <f>SUM(J22:J37)</f>
        <v>9791</v>
      </c>
      <c r="K38" s="17">
        <f>SUM(K22:K37)</f>
        <v>9363</v>
      </c>
      <c r="L38" s="17">
        <f>SUM(L22:L37)</f>
        <v>9619</v>
      </c>
      <c r="M38" s="17">
        <f>SUM(M22:M37)</f>
        <v>11256</v>
      </c>
      <c r="N38" s="17">
        <f>SUM(B38:M38)</f>
        <v>121587</v>
      </c>
      <c r="O38" s="17">
        <f>IF($B$7=0,0,N38/$B$7)</f>
        <v>10132.25</v>
      </c>
    </row>
    <row r="39" ht="10" customHeight="1"/>
    <row r="40">
      <c r="A40" s="18" t="inlineStr">
        <is>
          <t>Net operating income (NOI)</t>
        </is>
      </c>
      <c r="B40" s="19">
        <f>B19-B38</f>
        <v>9196</v>
      </c>
      <c r="C40" s="19">
        <f>C19-C38</f>
        <v>6945</v>
      </c>
      <c r="D40" s="19">
        <f>D19-D38</f>
        <v>10374</v>
      </c>
      <c r="E40" s="19">
        <f>E19-E38</f>
        <v>8895</v>
      </c>
      <c r="F40" s="19">
        <f>F19-F38</f>
        <v>7293</v>
      </c>
      <c r="G40" s="19">
        <f>G19-G38</f>
        <v>9555</v>
      </c>
      <c r="H40" s="19">
        <f>H19-H38</f>
        <v>10183</v>
      </c>
      <c r="I40" s="19">
        <f>I19-I38</f>
        <v>6156</v>
      </c>
      <c r="J40" s="19">
        <f>J19-J38</f>
        <v>9974</v>
      </c>
      <c r="K40" s="19">
        <f>K19-K38</f>
        <v>10297</v>
      </c>
      <c r="L40" s="19">
        <f>L19-L38</f>
        <v>9371</v>
      </c>
      <c r="M40" s="19">
        <f>M19-M38</f>
        <v>7009</v>
      </c>
      <c r="N40" s="19">
        <f>SUM(B40:M40)</f>
        <v>105248</v>
      </c>
      <c r="O40" s="19">
        <f>IF($B$7=0,0,N40/$B$7)</f>
        <v>8770.666666666666</v>
      </c>
    </row>
    <row r="41">
      <c r="A41" s="20" t="inlineStr">
        <is>
          <t>Expense ratio (operating expenses / EGI)</t>
        </is>
      </c>
      <c r="B41" s="21">
        <f>IF(B19=0,0,B38/B19)</f>
        <v>0.4991285403050109</v>
      </c>
      <c r="C41" s="21">
        <f>IF(C19=0,0,C38/C19)</f>
        <v>0.6271140939597315</v>
      </c>
      <c r="D41" s="21">
        <f>IF(D19=0,0,D38/D19)</f>
        <v>0.47340101522842637</v>
      </c>
      <c r="E41" s="21">
        <f>IF(E19=0,0,E38/E19)</f>
        <v>0.5126027397260274</v>
      </c>
      <c r="F41" s="21">
        <f>IF(F19=0,0,F38/F19)</f>
        <v>0.5981818181818181</v>
      </c>
      <c r="G41" s="21">
        <f>IF(G19=0,0,G38/G19)</f>
        <v>0.5129969418960245</v>
      </c>
      <c r="H41" s="21">
        <f>IF(H19=0,0,H38/H19)</f>
        <v>0.47333850530126714</v>
      </c>
      <c r="I41" s="21">
        <f>IF(I19=0,0,I38/I19)</f>
        <v>0.6601711288987028</v>
      </c>
      <c r="J41" s="21">
        <f>IF(J19=0,0,J38/J19)</f>
        <v>0.49537060460409815</v>
      </c>
      <c r="K41" s="21">
        <f>IF(K19=0,0,K38/K19)</f>
        <v>0.4762461851475076</v>
      </c>
      <c r="L41" s="21">
        <f>IF(L19=0,0,L38/L19)</f>
        <v>0.5065297525013165</v>
      </c>
      <c r="M41" s="21">
        <f>IF(M19=0,0,M38/M19)</f>
        <v>0.6162606077196825</v>
      </c>
      <c r="N41" s="21">
        <f>IF(N19=0,0,N38/N19)</f>
        <v>0.5360151652081909</v>
      </c>
      <c r="O41" s="20" t="n"/>
    </row>
    <row r="42"/>
    <row r="43" ht="29" customHeight="1">
      <c r="A43" s="22" t="inlineStr">
        <is>
          <t>Effective gross income is gross potential rent less vacancy, credit loss, and concessions, plus other income. NOI is effective gross income less operating expenses. Debt service, depreciation, and capital improvements are not operating expenses and stay off this statement. Per unit is the 12-month total divided by units.</t>
        </is>
      </c>
      <c r="B43" s="22" t="n"/>
      <c r="C43" s="22" t="n"/>
      <c r="D43" s="22" t="n"/>
      <c r="E43" s="22" t="n"/>
      <c r="F43" s="22" t="n"/>
      <c r="G43" s="22" t="n"/>
      <c r="H43" s="22" t="n"/>
      <c r="I43" s="22" t="n"/>
      <c r="J43" s="22" t="n"/>
      <c r="K43" s="22" t="n"/>
      <c r="L43" s="22" t="n"/>
      <c r="M43" s="22" t="n"/>
      <c r="N43" s="22" t="n"/>
      <c r="O43" s="22" t="n"/>
    </row>
    <row r="44" ht="16" customHeight="1">
      <c r="A44" s="23" t="inlineStr">
        <is>
          <t>Alura Capital | George Schembri III, NMLS 2103836 | Loans originated by NEXA Mortgage LLC, NMLS 1660690 | Licensed in Florida | (813) 356-9448 | info@aluracapital.com</t>
        </is>
      </c>
      <c r="B44" s="23" t="n"/>
      <c r="C44" s="23" t="n"/>
      <c r="D44" s="23" t="n"/>
      <c r="E44" s="23" t="n"/>
      <c r="F44" s="23" t="n"/>
      <c r="G44" s="23" t="n"/>
      <c r="H44" s="23" t="n"/>
      <c r="I44" s="23" t="n"/>
      <c r="J44" s="23" t="n"/>
      <c r="K44" s="23" t="n"/>
      <c r="L44" s="23" t="n"/>
      <c r="M44" s="23" t="n"/>
      <c r="N44" s="23" t="n"/>
      <c r="O44" s="23" t="n"/>
    </row>
    <row r="45" ht="16" customHeight="1">
      <c r="A45" s="23" t="inlineStr">
        <is>
          <t>For planning only. Not a commitment to lend, and not tax, legal, or investment advice. Equal Housing Opportunity.</t>
        </is>
      </c>
      <c r="B45" s="23" t="n"/>
      <c r="C45" s="23" t="n"/>
      <c r="D45" s="23" t="n"/>
      <c r="E45" s="23" t="n"/>
      <c r="F45" s="23" t="n"/>
      <c r="G45" s="23" t="n"/>
      <c r="H45" s="23" t="n"/>
      <c r="I45" s="23" t="n"/>
      <c r="J45" s="23" t="n"/>
      <c r="K45" s="23" t="n"/>
      <c r="L45" s="23" t="n"/>
      <c r="M45" s="23" t="n"/>
      <c r="N45" s="23" t="n"/>
      <c r="O45" s="23" t="n"/>
    </row>
    <row r="46" ht="16" customHeight="1">
      <c r="A46" s="23" t="inlineStr">
        <is>
          <t>Send the completed file to info@aluracapital.com with your loan request. aluracapital.com</t>
        </is>
      </c>
      <c r="B46" s="23" t="n"/>
      <c r="C46" s="23" t="n"/>
      <c r="D46" s="23" t="n"/>
      <c r="E46" s="23" t="n"/>
      <c r="F46" s="23" t="n"/>
      <c r="G46" s="23" t="n"/>
      <c r="H46" s="23" t="n"/>
      <c r="I46" s="23" t="n"/>
      <c r="J46" s="23" t="n"/>
      <c r="K46" s="23" t="n"/>
      <c r="L46" s="23" t="n"/>
      <c r="M46" s="23" t="n"/>
      <c r="N46" s="23" t="n"/>
      <c r="O46" s="23" t="n"/>
    </row>
  </sheetData>
  <mergeCells count="12">
    <mergeCell ref="A12:O12"/>
    <mergeCell ref="B6:C6"/>
    <mergeCell ref="A43:O43"/>
    <mergeCell ref="A2:O2"/>
    <mergeCell ref="B5:G5"/>
    <mergeCell ref="B9:G9"/>
    <mergeCell ref="A44:O44"/>
    <mergeCell ref="B8:G8"/>
    <mergeCell ref="A45:O45"/>
    <mergeCell ref="B4:G4"/>
    <mergeCell ref="A46:O46"/>
    <mergeCell ref="A21:O21"/>
  </mergeCells>
  <printOptions horizontalCentered="1"/>
  <pageMargins left="0.4" right="0.4" top="0.5" bottom="0.6" header="0.5" footer="0.3"/>
  <pageSetup orientation="landscape" paperSize="1" fitToHeight="1" fitToWidth="1"/>
  <headerFooter>
    <oddHeader/>
    <oddFooter>&amp;L&amp;"Calibri,Regular"&amp;8 &amp;K5A5245Alura Capital | NMLS 2103836 | NEXA Mortgage LLC, NMLS 1660690 | Equal Housing Opportunity&amp;R&amp;"Calibri,Regular"&amp;8 &amp;K5A5245Page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Alura Capital</dc:creator>
  <dc:title>T-12 Operating Statement</dc:title>
  <dc:subject>Lender-ready template for real estate investors</dc:subject>
  <dcterms:created xsi:type="dcterms:W3CDTF">2026-09-28T23:56:48Z</dcterms:created>
  <dcterms:modified xsi:type="dcterms:W3CDTF">2026-09-28T23:56:48Z</dcterms:modified>
  <cp:keywords>Alura Capital, investor loans, NMLS 2103836</cp:keywords>
</cp:coreProperties>
</file>