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Rental analyzer" sheetId="2" state="visible" r:id="rId2"/>
    <sheet name="5-year pro forma" sheetId="3" state="visible" r:id="rId3"/>
    <sheet name="BRRRR and flip" sheetId="4" state="visible" r:id="rId4"/>
    <sheet name="Commercial loan sizing" sheetId="5" state="visible" r:id="rId5"/>
  </sheets>
  <definedNames>
    <definedName name="_xlnm.Print_Area" localSheetId="0">'Start here'!$A$1:$C$38</definedName>
    <definedName name="_xlnm.Print_Area" localSheetId="1">'Rental analyzer'!$A$1:$F$41</definedName>
    <definedName name="_xlnm.Print_Area" localSheetId="2">'5-year pro forma'!$A$1:$H$53</definedName>
    <definedName name="_xlnm.Print_Area" localSheetId="3">'BRRRR and flip'!$A$1:$F$26</definedName>
    <definedName name="_xlnm.Print_Area" localSheetId="4">'Commercial loan sizing'!$A$1:$F$24</definedName>
  </definedNames>
  <calcPr calcId="124519" fullCalcOnLoad="1"/>
</workbook>
</file>

<file path=xl/styles.xml><?xml version="1.0" encoding="utf-8"?>
<styleSheet xmlns="http://schemas.openxmlformats.org/spreadsheetml/2006/main">
  <numFmts count="7">
    <numFmt numFmtId="164" formatCode="$#,##0_);($#,##0)"/>
    <numFmt numFmtId="165" formatCode="0.0%"/>
    <numFmt numFmtId="166" formatCode="0.00#%"/>
    <numFmt numFmtId="167" formatCode="$#,##0_);($#,##0);&quot;-&quot;_)"/>
    <numFmt numFmtId="168" formatCode="0.00&quot;x&quot;"/>
    <numFmt numFmtId="169" formatCode="0.0"/>
    <numFmt numFmtId="170" formatCode="&quot;Year &quot;0"/>
  </numFmts>
  <fonts count="10">
    <font>
      <name val="Calibri"/>
      <family val="2"/>
      <color theme="1"/>
      <sz val="11"/>
      <scheme val="minor"/>
    </font>
    <font>
      <name val="Calibri"/>
      <i val="1"/>
      <color rgb="005A5245"/>
      <sz val="10"/>
    </font>
    <font>
      <name val="Calibri"/>
      <b val="1"/>
      <color rgb="00FFFFFF"/>
      <sz val="11"/>
    </font>
    <font>
      <name val="Calibri"/>
      <b val="1"/>
      <color rgb="00B8892A"/>
      <sz val="12"/>
    </font>
    <font>
      <name val="Calibri"/>
      <color rgb="0014110C"/>
      <sz val="11"/>
    </font>
    <font>
      <name val="Calibri"/>
      <color rgb="001F3A68"/>
      <sz val="11"/>
    </font>
    <font>
      <name val="Calibri"/>
      <b val="1"/>
      <color rgb="0014110C"/>
      <sz val="11"/>
    </font>
    <font>
      <name val="Calibri"/>
      <color rgb="005A5245"/>
      <sz val="9"/>
    </font>
    <font>
      <name val="Calibri"/>
      <b val="1"/>
      <color rgb="0014110C"/>
      <sz val="11"/>
      <u val="single"/>
    </font>
    <font>
      <name val="Calibri"/>
      <color rgb="0014110C"/>
      <sz val="11"/>
      <u val="single"/>
    </font>
  </fonts>
  <fills count="4">
    <fill>
      <patternFill/>
    </fill>
    <fill>
      <patternFill patternType="gray125"/>
    </fill>
    <fill>
      <patternFill patternType="solid">
        <fgColor rgb="00B8892A"/>
      </patternFill>
    </fill>
    <fill>
      <patternFill patternType="solid">
        <fgColor rgb="00F6EFDD"/>
      </patternFill>
    </fill>
  </fills>
  <borders count="11">
    <border>
      <left/>
      <right/>
      <top/>
      <bottom/>
      <diagonal/>
    </border>
    <border>
      <bottom style="medium">
        <color rgb="00B8892A"/>
      </bottom>
    </border>
    <border>
      <top style="thin">
        <color rgb="00B8892A"/>
      </top>
      <bottom style="thin">
        <color rgb="00B8892A"/>
      </bottom>
    </border>
    <border>
      <bottom style="thin">
        <color rgb="00B8892A"/>
      </bottom>
    </border>
    <border>
      <left style="thin">
        <color rgb="00D9CFBA"/>
      </left>
      <right style="thin">
        <color rgb="00D9CFBA"/>
      </right>
      <top style="thin">
        <color rgb="00D9CFBA"/>
      </top>
      <bottom style="thin">
        <color rgb="00D9CFBA"/>
      </bottom>
    </border>
    <border>
      <left/>
      <right/>
      <top style="thin">
        <color rgb="00D9CFBA"/>
      </top>
      <bottom/>
      <diagonal/>
    </border>
    <border>
      <left/>
      <right style="thin">
        <color rgb="00D9CFBA"/>
      </right>
      <top style="thin">
        <color rgb="00D9CFBA"/>
      </top>
      <bottom/>
      <diagonal/>
    </border>
    <border>
      <left/>
      <right style="thin">
        <color rgb="00D9CFBA"/>
      </right>
      <top style="thin">
        <color rgb="00D9CFBA"/>
      </top>
      <bottom style="thin">
        <color rgb="00D9CFBA"/>
      </bottom>
      <diagonal/>
    </border>
    <border>
      <top style="thin">
        <color rgb="00B8892A"/>
      </top>
    </border>
    <border>
      <left/>
      <right/>
      <top style="thin">
        <color rgb="00B8892A"/>
      </top>
      <bottom/>
      <diagonal/>
    </border>
    <border>
      <left/>
      <right/>
      <top style="thin">
        <color rgb="00B8892A"/>
      </top>
      <bottom style="thin">
        <color rgb="00B8892A"/>
      </bottom>
      <diagonal/>
    </border>
  </borders>
  <cellStyleXfs count="1">
    <xf numFmtId="0" fontId="0" fillId="0" borderId="0"/>
  </cellStyleXfs>
  <cellXfs count="40">
    <xf numFmtId="0" fontId="0" fillId="0" borderId="0" pivotButton="0" quotePrefix="0" xfId="0"/>
    <xf numFmtId="0" fontId="0" fillId="0" borderId="1" applyAlignment="1" pivotButton="0" quotePrefix="0" xfId="0">
      <alignment vertical="center"/>
    </xf>
    <xf numFmtId="0" fontId="0" fillId="0" borderId="1" pivotButton="0" quotePrefix="0" xfId="0"/>
    <xf numFmtId="0" fontId="1" fillId="0" borderId="0" applyAlignment="1" pivotButton="0" quotePrefix="0" xfId="0">
      <alignment vertical="center" wrapText="1"/>
    </xf>
    <xf numFmtId="0" fontId="2" fillId="2" borderId="2" applyAlignment="1" pivotButton="0" quotePrefix="0" xfId="0">
      <alignment horizontal="left" vertical="center" indent="1"/>
    </xf>
    <xf numFmtId="0" fontId="0" fillId="0" borderId="10" pivotButton="0" quotePrefix="0" xfId="0"/>
    <xf numFmtId="0" fontId="8" fillId="0" borderId="0" applyAlignment="1" pivotButton="0" quotePrefix="0" xfId="0">
      <alignment vertical="top" wrapText="1" indent="1"/>
    </xf>
    <xf numFmtId="0" fontId="4" fillId="0" borderId="0" applyAlignment="1" pivotButton="0" quotePrefix="0" xfId="0">
      <alignment vertical="top" wrapText="1" indent="1"/>
    </xf>
    <xf numFmtId="164" fontId="5" fillId="3" borderId="4" applyAlignment="1" applyProtection="1" pivotButton="0" quotePrefix="0" xfId="0">
      <alignment horizontal="right" vertical="center"/>
      <protection locked="0" hidden="0"/>
    </xf>
    <xf numFmtId="0" fontId="4" fillId="0" borderId="0" applyAlignment="1" pivotButton="0" quotePrefix="0" xfId="0">
      <alignment vertical="center" wrapText="1" indent="1"/>
    </xf>
    <xf numFmtId="167" fontId="4" fillId="0" borderId="4" applyAlignment="1" pivotButton="0" quotePrefix="0" xfId="0">
      <alignment horizontal="right" vertical="center"/>
    </xf>
    <xf numFmtId="0" fontId="6" fillId="0" borderId="0" applyAlignment="1" pivotButton="0" quotePrefix="0" xfId="0">
      <alignment vertical="top" wrapText="1" indent="1"/>
    </xf>
    <xf numFmtId="0" fontId="6" fillId="0" borderId="0" applyAlignment="1" pivotButton="0" quotePrefix="0" xfId="0">
      <alignment vertical="center" indent="1"/>
    </xf>
    <xf numFmtId="0" fontId="9" fillId="0" borderId="0" applyAlignment="1" pivotButton="0" quotePrefix="0" xfId="0">
      <alignment vertical="center" indent="1"/>
    </xf>
    <xf numFmtId="0" fontId="7" fillId="0" borderId="8" applyAlignment="1" pivotButton="0" quotePrefix="0" xfId="0">
      <alignment vertical="top" wrapText="1"/>
    </xf>
    <xf numFmtId="0" fontId="0" fillId="0" borderId="9" pivotButton="0" quotePrefix="0" xfId="0"/>
    <xf numFmtId="0" fontId="7" fillId="0" borderId="0" applyAlignment="1" pivotButton="0" quotePrefix="0" xfId="0">
      <alignment vertical="top" wrapText="1"/>
    </xf>
    <xf numFmtId="0" fontId="2" fillId="2" borderId="2" applyAlignment="1" pivotButton="0" quotePrefix="0" xfId="0">
      <alignment horizontal="right" vertical="center"/>
    </xf>
    <xf numFmtId="0" fontId="3" fillId="0" borderId="3" applyAlignment="1" pivotButton="0" quotePrefix="0" xfId="0">
      <alignment vertical="bottom"/>
    </xf>
    <xf numFmtId="0" fontId="0" fillId="0" borderId="3" pivotButton="0" quotePrefix="0" xfId="0"/>
    <xf numFmtId="0" fontId="4" fillId="0" borderId="0" applyAlignment="1" pivotButton="0" quotePrefix="0" xfId="0">
      <alignment vertical="center" indent="1"/>
    </xf>
    <xf numFmtId="0" fontId="7" fillId="0" borderId="0" applyAlignment="1" pivotButton="0" quotePrefix="0" xfId="0">
      <alignment vertical="center" wrapText="1" indent="1"/>
    </xf>
    <xf numFmtId="165" fontId="5" fillId="3" borderId="4" applyAlignment="1" applyProtection="1" pivotButton="0" quotePrefix="0" xfId="0">
      <alignment horizontal="right" vertical="center"/>
      <protection locked="0" hidden="0"/>
    </xf>
    <xf numFmtId="168" fontId="6" fillId="0" borderId="4" applyAlignment="1" pivotButton="0" quotePrefix="0" xfId="0">
      <alignment horizontal="right" vertical="center"/>
    </xf>
    <xf numFmtId="166" fontId="5" fillId="3" borderId="4" applyAlignment="1" applyProtection="1" pivotButton="0" quotePrefix="0" xfId="0">
      <alignment horizontal="right" vertical="center"/>
      <protection locked="0" hidden="0"/>
    </xf>
    <xf numFmtId="0" fontId="6" fillId="0" borderId="4" applyAlignment="1" pivotButton="0" quotePrefix="0" xfId="0">
      <alignment horizontal="left" vertical="center" indent="1"/>
    </xf>
    <xf numFmtId="0" fontId="0" fillId="0" borderId="7" pivotButton="0" quotePrefix="0" xfId="0"/>
    <xf numFmtId="3" fontId="5" fillId="3" borderId="4" applyAlignment="1" applyProtection="1" pivotButton="0" quotePrefix="0" xfId="0">
      <alignment horizontal="right" vertical="center"/>
      <protection locked="0" hidden="0"/>
    </xf>
    <xf numFmtId="167" fontId="6" fillId="0" borderId="4" applyAlignment="1" pivotButton="0" quotePrefix="0" xfId="0">
      <alignment horizontal="right" vertical="center"/>
    </xf>
    <xf numFmtId="10" fontId="4" fillId="0" borderId="4" applyAlignment="1" pivotButton="0" quotePrefix="0" xfId="0">
      <alignment horizontal="right" vertical="center"/>
    </xf>
    <xf numFmtId="10" fontId="6" fillId="0" borderId="4" applyAlignment="1" pivotButton="0" quotePrefix="0" xfId="0">
      <alignment horizontal="right" vertical="center"/>
    </xf>
    <xf numFmtId="169" fontId="4" fillId="0" borderId="4" applyAlignment="1" pivotButton="0" quotePrefix="0" xfId="0">
      <alignment horizontal="right" vertical="center"/>
    </xf>
    <xf numFmtId="165" fontId="4" fillId="0" borderId="4" applyAlignment="1" pivotButton="0" quotePrefix="0" xfId="0">
      <alignment horizontal="right" vertical="center"/>
    </xf>
    <xf numFmtId="170" fontId="2" fillId="2" borderId="2" applyAlignment="1" pivotButton="0" quotePrefix="0" xfId="0">
      <alignment horizontal="right" vertical="center"/>
    </xf>
    <xf numFmtId="3" fontId="4" fillId="0" borderId="4" applyAlignment="1" pivotButton="0" quotePrefix="0" xfId="0">
      <alignment horizontal="right" vertical="center"/>
    </xf>
    <xf numFmtId="165" fontId="6" fillId="0" borderId="4" applyAlignment="1" pivotButton="0" quotePrefix="0" xfId="0">
      <alignment horizontal="right" vertical="center"/>
    </xf>
    <xf numFmtId="166" fontId="4" fillId="0" borderId="4" applyAlignment="1" pivotButton="0" quotePrefix="0" xfId="0">
      <alignment horizontal="right" vertical="center"/>
    </xf>
    <xf numFmtId="49" fontId="5" fillId="3" borderId="4" applyAlignment="1" applyProtection="1" pivotButton="0" quotePrefix="0" xfId="0">
      <alignment horizontal="left" vertical="center" indent="1"/>
      <protection locked="0" hidden="0"/>
    </xf>
    <xf numFmtId="168" fontId="5" fillId="3" borderId="4" applyAlignment="1" applyProtection="1" pivotButton="0" quotePrefix="0" xfId="0">
      <alignment horizontal="right" vertical="center"/>
      <protection locked="0" hidden="0"/>
    </xf>
    <xf numFmtId="168" fontId="4" fillId="0" borderId="4"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2</col>
      <colOff>0</colOff>
      <row>0</row>
      <rowOff>0</rowOff>
    </from>
    <ext cx="2171700" cy="3810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5</col>
      <colOff>0</colOff>
      <row>0</row>
      <rowOff>0</rowOff>
    </from>
    <ext cx="2171700" cy="3810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7</col>
      <colOff>0</colOff>
      <row>0</row>
      <rowOff>0</rowOff>
    </from>
    <ext cx="2171700" cy="3810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5</col>
      <colOff>0</colOff>
      <row>0</row>
      <rowOff>0</rowOff>
    </from>
    <ext cx="2171700" cy="3810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5</col>
      <colOff>0</colOff>
      <row>0</row>
      <rowOff>0</rowOff>
    </from>
    <ext cx="2171700" cy="3810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el:+18133569448" TargetMode="External" Id="rId1" /><Relationship Type="http://schemas.openxmlformats.org/officeDocument/2006/relationships/hyperlink" Target="mailto:info@aluracapital.com" TargetMode="External" Id="rId2" /><Relationship Type="http://schemas.openxmlformats.org/officeDocument/2006/relationships/hyperlink" Target="https://aluracapital.com" TargetMode="External" Id="rId3" /><Relationship Type="http://schemas.openxmlformats.org/officeDocument/2006/relationships/drawing" Target="/xl/drawings/drawing1.xml" Id="rId4"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sheet1.xml><?xml version="1.0" encoding="utf-8"?>
<worksheet xmlns="http://schemas.openxmlformats.org/spreadsheetml/2006/main">
  <sheetPr>
    <tabColor rgb="00B8892A"/>
    <outlinePr summaryBelow="1" summaryRight="1"/>
    <pageSetUpPr fitToPage="1"/>
  </sheetPr>
  <dimension ref="A1:C38"/>
  <sheetViews>
    <sheetView showGridLines="0" workbookViewId="0">
      <pane ySplit="2" topLeftCell="A3" activePane="bottomLeft" state="frozen"/>
      <selection pane="bottomLeft" activeCell="A1" sqref="A1"/>
    </sheetView>
  </sheetViews>
  <sheetFormatPr baseColWidth="8" defaultRowHeight="15"/>
  <cols>
    <col width="30" customWidth="1" min="1" max="1"/>
    <col width="70" customWidth="1" min="2" max="2"/>
    <col width="34" customWidth="1" min="3" max="3"/>
  </cols>
  <sheetData>
    <row r="1" ht="38" customHeight="1">
      <c r="A1" s="1" t="inlineStr">
        <is>
          <r>
            <rPr>
              <rFont val="Calibri"/>
              <b val="1"/>
              <color rgb="FF14110C"/>
              <sz val="18"/>
            </rPr>
            <t>Deal Analyzer</t>
          </r>
          <r>
            <rPr>
              <rFont val="Calibri"/>
              <color rgb="FF5A5245"/>
              <sz val="10"/>
            </rPr>
            <t xml:space="preserve">     alura-deal-analyzer.xlsx</t>
          </r>
        </is>
      </c>
      <c r="B1" s="2" t="n"/>
      <c r="C1" s="2" t="n"/>
    </row>
    <row r="2" ht="20" customHeight="1">
      <c r="A2" s="3" t="inlineStr">
        <is>
          <t>How to use: type your numbers into the gold cells. White cells are formulas and update on their own. The tab names below are links.</t>
        </is>
      </c>
    </row>
    <row r="3" ht="22" customHeight="1">
      <c r="A3" s="4" t="inlineStr">
        <is>
          <t>Tab</t>
        </is>
      </c>
      <c r="B3" s="4" t="inlineStr">
        <is>
          <t>What it does</t>
        </is>
      </c>
      <c r="C3" s="5" t="n"/>
    </row>
    <row r="4" ht="49" customHeight="1">
      <c r="A4" s="6" t="inlineStr">
        <is>
          <t>Rental analyzer</t>
        </is>
      </c>
      <c r="B4" s="7" t="inlineStr">
        <is>
          <t>One rental property, 1 to 4 units or a small multifamily building. Shows the loan, monthly PITIA, lender-style DSCR, NOI, cap rate, cash flow, cash-on-cash return, gross rent multiplier, the 1 percent rule and break-even occupancy.</t>
        </is>
      </c>
    </row>
    <row r="5" ht="34" customHeight="1">
      <c r="A5" s="6" t="inlineStr">
        <is>
          <t>5-year pro forma</t>
        </is>
      </c>
      <c r="B5" s="7" t="inlineStr">
        <is>
          <t>Grows the Rental analyzer deal for five years, sells it at the end of year 5, and shows cash flow, loan balance, equity, IRR and equity multiple. Fill in the Rental analyzer first; year 1 comes from there.</t>
        </is>
      </c>
    </row>
    <row r="6" ht="34" customHeight="1">
      <c r="A6" s="6" t="inlineStr">
        <is>
          <t>BRRRR and flip</t>
        </is>
      </c>
      <c r="B6" s="7" t="inlineStr">
        <is>
          <t>Buy and rehab, then refinance and hold, or sell. Shows the 70 percent rule max offer, all-in cost, cash back at the refinance, cash left in the deal, and flip profit and ROI.</t>
        </is>
      </c>
    </row>
    <row r="7" ht="34" customHeight="1">
      <c r="A7" s="6" t="inlineStr">
        <is>
          <t>Commercial loan sizing</t>
        </is>
      </c>
      <c r="B7" s="7" t="inlineStr">
        <is>
          <t>Sizes a commercial loan by LTV, DSCR and debt yield, names the test that limits the loan, and shows the equity you need at the purchase price.</t>
        </is>
      </c>
    </row>
    <row r="8" ht="10" customHeight="1"/>
    <row r="9" ht="22" customHeight="1">
      <c r="A9" s="4" t="inlineStr">
        <is>
          <t>The cells</t>
        </is>
      </c>
      <c r="B9" s="4" t="inlineStr">
        <is>
          <t>How they work</t>
        </is>
      </c>
      <c r="C9" s="5" t="n"/>
    </row>
    <row r="10" ht="20" customHeight="1">
      <c r="A10" s="8" t="n">
        <v>385000</v>
      </c>
      <c r="B10" s="9" t="inlineStr">
        <is>
          <t>Gold cell with blue text: an input. Type over the example value with your own number.</t>
        </is>
      </c>
    </row>
    <row r="11" ht="34" customHeight="1">
      <c r="A11" s="10">
        <f>A10*0.25</f>
        <v/>
      </c>
      <c r="B11" s="9" t="inlineStr">
        <is>
          <t>White cell: a formula. It updates when an input changes, so leave it as is. This one is the gold cell above times 25 percent.</t>
        </is>
      </c>
    </row>
    <row r="12" ht="20" customHeight="1">
      <c r="A12" s="11" t="inlineStr">
        <is>
          <t>Percents</t>
        </is>
      </c>
      <c r="B12" s="7" t="inlineStr">
        <is>
          <t>Type percents with the % sign, for example 7.25%.</t>
        </is>
      </c>
    </row>
    <row r="13" ht="34" customHeight="1">
      <c r="A13" s="11" t="inlineStr">
        <is>
          <t>Example numbers</t>
        </is>
      </c>
      <c r="B13" s="7" t="inlineStr">
        <is>
          <t>Every tab opens with a sample Tampa Bay deal so the math runs right away. The examples are not a quote, a rate offer, or an appraisal.</t>
        </is>
      </c>
    </row>
    <row r="14" ht="20" customHeight="1">
      <c r="A14" s="11" t="inlineStr">
        <is>
          <t>Printing</t>
        </is>
      </c>
      <c r="B14" s="7" t="inlineStr">
        <is>
          <t>Each calculator tab prints landscape and one page wide, with the disclosures at the bottom.</t>
        </is>
      </c>
    </row>
    <row r="15" ht="10" customHeight="1"/>
    <row r="16" ht="22" customHeight="1">
      <c r="A16" s="4" t="inlineStr">
        <is>
          <t>Term</t>
        </is>
      </c>
      <c r="B16" s="4" t="inlineStr">
        <is>
          <t>Meaning</t>
        </is>
      </c>
      <c r="C16" s="5" t="n"/>
    </row>
    <row r="17" ht="20" customHeight="1">
      <c r="A17" s="11" t="inlineStr">
        <is>
          <t>NOI</t>
        </is>
      </c>
      <c r="B17" s="7" t="inlineStr">
        <is>
          <t>Net operating income. Effective gross income minus operating expenses, before any loan payment.</t>
        </is>
      </c>
    </row>
    <row r="18" ht="20" customHeight="1">
      <c r="A18" s="11" t="inlineStr">
        <is>
          <t>Cap rate</t>
        </is>
      </c>
      <c r="B18" s="7" t="inlineStr">
        <is>
          <t>NOI divided by the price or value.</t>
        </is>
      </c>
    </row>
    <row r="19" ht="20" customHeight="1">
      <c r="A19" s="11" t="inlineStr">
        <is>
          <t>PITIA</t>
        </is>
      </c>
      <c r="B19" s="7" t="inlineStr">
        <is>
          <t>Monthly principal and interest (or interest only), plus property taxes, insurance and association dues.</t>
        </is>
      </c>
    </row>
    <row r="20" ht="34" customHeight="1">
      <c r="A20" s="11" t="inlineStr">
        <is>
          <t>DSCR, lender style</t>
        </is>
      </c>
      <c r="B20" s="7" t="inlineStr">
        <is>
          <t>Gross monthly rent divided by PITIA. Many DSCR rental loans qualify the property on this ratio instead of your personal income.</t>
        </is>
      </c>
    </row>
    <row r="21" ht="20" customHeight="1">
      <c r="A21" s="11" t="inlineStr">
        <is>
          <t>DSCR, commercial</t>
        </is>
      </c>
      <c r="B21" s="7" t="inlineStr">
        <is>
          <t>NOI divided by annual debt service.</t>
        </is>
      </c>
    </row>
    <row r="22" ht="20" customHeight="1">
      <c r="A22" s="11" t="inlineStr">
        <is>
          <t>Debt yield</t>
        </is>
      </c>
      <c r="B22" s="7" t="inlineStr">
        <is>
          <t>NOI divided by the loan amount.</t>
        </is>
      </c>
    </row>
    <row r="23" ht="20" customHeight="1">
      <c r="A23" s="11" t="inlineStr">
        <is>
          <t>Cash-on-cash return</t>
        </is>
      </c>
      <c r="B23" s="7" t="inlineStr">
        <is>
          <t>Annual cash flow divided by the cash you put in.</t>
        </is>
      </c>
    </row>
    <row r="24" ht="20" customHeight="1">
      <c r="A24" s="11" t="inlineStr">
        <is>
          <t>Break-even occupancy</t>
        </is>
      </c>
      <c r="B24" s="7" t="inlineStr">
        <is>
          <t>The share of gross potential income you need to collect to cover operating expenses and debt service.</t>
        </is>
      </c>
    </row>
    <row r="25" ht="34" customHeight="1">
      <c r="A25" s="11" t="inlineStr">
        <is>
          <t>IRR</t>
        </is>
      </c>
      <c r="B25" s="7" t="inlineStr">
        <is>
          <t>Internal rate of return. The yearly return that accounts for when each dollar comes back, including the sale.</t>
        </is>
      </c>
    </row>
    <row r="26" ht="20" customHeight="1">
      <c r="A26" s="11" t="inlineStr">
        <is>
          <t>Equity multiple</t>
        </is>
      </c>
      <c r="B26" s="7" t="inlineStr">
        <is>
          <t>Total cash back (cash flow plus sale proceeds) divided by the cash you put in.</t>
        </is>
      </c>
    </row>
    <row r="27" ht="20" customHeight="1">
      <c r="A27" s="11" t="inlineStr">
        <is>
          <t>ARV</t>
        </is>
      </c>
      <c r="B27" s="7" t="inlineStr">
        <is>
          <t>After-repair value. What the property should appraise for once the rehab is done.</t>
        </is>
      </c>
    </row>
    <row r="28" ht="20" customHeight="1">
      <c r="A28" s="11" t="inlineStr">
        <is>
          <t>LTV and LTC</t>
        </is>
      </c>
      <c r="B28" s="7" t="inlineStr">
        <is>
          <t>Loan-to-value and loan-to-cost. The loan as a percent of value, or of price plus rehab.</t>
        </is>
      </c>
    </row>
    <row r="29" ht="20" customHeight="1">
      <c r="A29" s="11" t="inlineStr">
        <is>
          <t>BRRRR</t>
        </is>
      </c>
      <c r="B29" s="7" t="inlineStr">
        <is>
          <t>Buy, rehab, rent, refinance, repeat.</t>
        </is>
      </c>
    </row>
    <row r="30" ht="10" customHeight="1"/>
    <row r="31" ht="22" customHeight="1">
      <c r="A31" s="4" t="inlineStr">
        <is>
          <t>Run your scenario by us</t>
        </is>
      </c>
      <c r="B31" s="5" t="n"/>
      <c r="C31" s="5" t="n"/>
    </row>
    <row r="32" ht="49" customHeight="1">
      <c r="A32" s="11" t="inlineStr">
        <is>
          <t>George Schembri III</t>
        </is>
      </c>
      <c r="B32" s="7" t="inlineStr">
        <is>
          <t>Loan originator, NMLS 2103836. Send us the deal and we will tell you which loan programs fit and what the terms look like today: DSCR rental loans, commercial, bridge and rehab, ground-up construction, 1031 exchange purchases, self-directed IRA and Solo 401(k) non-recourse loans, and VA loans for veterans.</t>
        </is>
      </c>
    </row>
    <row r="33" ht="20" customHeight="1">
      <c r="A33" s="12" t="inlineStr">
        <is>
          <t>Phone</t>
        </is>
      </c>
      <c r="B33" s="13" t="inlineStr">
        <is>
          <t>(813) 356-9448</t>
        </is>
      </c>
    </row>
    <row r="34" ht="20" customHeight="1">
      <c r="A34" s="12" t="inlineStr">
        <is>
          <t>Email</t>
        </is>
      </c>
      <c r="B34" s="13" t="inlineStr">
        <is>
          <t>info@aluracapital.com</t>
        </is>
      </c>
    </row>
    <row r="35" ht="20" customHeight="1">
      <c r="A35" s="12" t="inlineStr">
        <is>
          <t>Website</t>
        </is>
      </c>
      <c r="B35" s="13" t="inlineStr">
        <is>
          <t>aluracapital.com</t>
        </is>
      </c>
    </row>
    <row r="36"/>
    <row r="37" ht="17" customHeight="1">
      <c r="A37" s="14" t="inlineStr">
        <is>
          <t>Alura Capital | George Schembri III, NMLS 2103836 | Loans originated by NEXA Mortgage LLC, NMLS 1660690 | Licensed in Florida | (813) 356-9448 | info@aluracapital.com</t>
        </is>
      </c>
      <c r="B37" s="15" t="n"/>
      <c r="C37" s="15" t="n"/>
    </row>
    <row r="38" ht="17" customHeight="1">
      <c r="A38" s="16" t="inlineStr">
        <is>
          <t>For planning only. Not a commitment to lend, and not tax, legal, or investment advice. Equal Housing Opportunity.</t>
        </is>
      </c>
    </row>
  </sheetData>
  <mergeCells count="33">
    <mergeCell ref="B16:C16"/>
    <mergeCell ref="B7:C7"/>
    <mergeCell ref="B25:C25"/>
    <mergeCell ref="A37:C37"/>
    <mergeCell ref="B3:C3"/>
    <mergeCell ref="B22:C22"/>
    <mergeCell ref="B18:C18"/>
    <mergeCell ref="B27:C27"/>
    <mergeCell ref="A2:C2"/>
    <mergeCell ref="B12:C12"/>
    <mergeCell ref="B21:C21"/>
    <mergeCell ref="B11:C11"/>
    <mergeCell ref="B23:C23"/>
    <mergeCell ref="B14:C14"/>
    <mergeCell ref="B17:C17"/>
    <mergeCell ref="A38:C38"/>
    <mergeCell ref="B13:C13"/>
    <mergeCell ref="B29:C29"/>
    <mergeCell ref="B19:C19"/>
    <mergeCell ref="A31:C31"/>
    <mergeCell ref="B34:C34"/>
    <mergeCell ref="B10:C10"/>
    <mergeCell ref="B28:C28"/>
    <mergeCell ref="B9:C9"/>
    <mergeCell ref="B6:C6"/>
    <mergeCell ref="B24:C24"/>
    <mergeCell ref="B33:C33"/>
    <mergeCell ref="B5:C5"/>
    <mergeCell ref="B20:C20"/>
    <mergeCell ref="B32:C32"/>
    <mergeCell ref="B26:C26"/>
    <mergeCell ref="B35:C35"/>
    <mergeCell ref="B4:C4"/>
  </mergeCells>
  <hyperlinks>
    <hyperlink ref="A4" location="'Rental analyzer'!A1"/>
    <hyperlink ref="A5" location="'5-year pro forma'!A1"/>
    <hyperlink ref="A6" location="'BRRRR and flip'!A1"/>
    <hyperlink ref="A7" location="'Commercial loan sizing'!A1"/>
    <hyperlink xmlns:r="http://schemas.openxmlformats.org/officeDocument/2006/relationships" ref="B33" r:id="rId1"/>
    <hyperlink xmlns:r="http://schemas.openxmlformats.org/officeDocument/2006/relationships" ref="B34" r:id="rId2"/>
    <hyperlink xmlns:r="http://schemas.openxmlformats.org/officeDocument/2006/relationships" ref="B35" r:id="rId3"/>
  </hyperlinks>
  <printOptions horizontalCentered="1"/>
  <pageMargins left="0.4" right="0.4" top="0.5" bottom="0.6" header="0.5" footer="0.3"/>
  <pageSetup orientation="portrait" paperSize="1" fitToHeight="1" fitToWidth="1"/>
  <headerFooter>
    <oddHeader/>
    <oddFooter>&amp;L&amp;"Calibri,Regular"&amp;8 &amp;K5A5245Alura Capital | NMLS 2103836 | NEXA Mortgage LLC, NMLS 1660690 | Equal Housing Opportunity&amp;R&amp;"Calibri,Regular"&amp;8 &amp;K5A5245Page &amp;P of &amp;N</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tabColor rgb="00B8892A"/>
    <outlinePr summaryBelow="1" summaryRight="1"/>
    <pageSetUpPr fitToPage="1"/>
  </sheetPr>
  <dimension ref="A1:F41"/>
  <sheetViews>
    <sheetView showGridLines="0" workbookViewId="0">
      <pane ySplit="3" topLeftCell="A4" activePane="bottomLeft" state="frozen"/>
      <selection pane="bottomLeft" activeCell="A1" sqref="A1"/>
    </sheetView>
  </sheetViews>
  <sheetFormatPr baseColWidth="8" defaultRowHeight="15"/>
  <cols>
    <col width="44" customWidth="1" min="1" max="1"/>
    <col width="15" customWidth="1" min="2" max="2"/>
    <col width="3" customWidth="1" min="3" max="3"/>
    <col width="44" customWidth="1" min="4" max="4"/>
    <col width="15" customWidth="1" min="5" max="5"/>
    <col width="50" customWidth="1" min="6" max="6"/>
  </cols>
  <sheetData>
    <row r="1" ht="38" customHeight="1">
      <c r="A1" s="1" t="inlineStr">
        <is>
          <r>
            <rPr>
              <rFont val="Calibri"/>
              <b val="1"/>
              <color rgb="FF14110C"/>
              <sz val="18"/>
            </rPr>
            <t>Rental Analyzer</t>
          </r>
          <r>
            <rPr>
              <rFont val="Calibri"/>
              <color rgb="FF5A5245"/>
              <sz val="10"/>
            </rPr>
            <t xml:space="preserve">     alura-deal-analyzer.xlsx</t>
          </r>
        </is>
      </c>
      <c r="B1" s="2" t="n"/>
      <c r="C1" s="2" t="n"/>
      <c r="D1" s="2" t="n"/>
      <c r="E1" s="2" t="n"/>
      <c r="F1" s="2" t="n"/>
    </row>
    <row r="2" ht="20" customHeight="1">
      <c r="A2" s="3" t="inlineStr">
        <is>
          <t>How to use: enter your deal in the gold cells on the left. Results on the right update as you type. Type percents with the % sign (7%). The 5-year pro forma tab reads its year 1 from this tab.</t>
        </is>
      </c>
    </row>
    <row r="3" ht="22" customHeight="1">
      <c r="A3" s="4" t="inlineStr">
        <is>
          <t>Inputs</t>
        </is>
      </c>
      <c r="B3" s="17" t="inlineStr">
        <is>
          <t>Your numbers</t>
        </is>
      </c>
      <c r="D3" s="4" t="inlineStr">
        <is>
          <t>Results</t>
        </is>
      </c>
      <c r="E3" s="17" t="inlineStr">
        <is>
          <t>Value</t>
        </is>
      </c>
      <c r="F3" s="4" t="inlineStr">
        <is>
          <t>How it is figured</t>
        </is>
      </c>
    </row>
    <row r="4" ht="22" customHeight="1">
      <c r="A4" s="18" t="inlineStr">
        <is>
          <t>PURCHASE</t>
        </is>
      </c>
      <c r="B4" s="19" t="n"/>
      <c r="D4" s="18" t="inlineStr">
        <is>
          <t>LOAN AND PAYMENT</t>
        </is>
      </c>
      <c r="E4" s="19" t="n"/>
      <c r="F4" s="19" t="n"/>
    </row>
    <row r="5" ht="17" customHeight="1">
      <c r="A5" s="20" t="inlineStr">
        <is>
          <t>Purchase price</t>
        </is>
      </c>
      <c r="B5" s="8" t="n">
        <v>385000</v>
      </c>
      <c r="D5" s="20" t="inlineStr">
        <is>
          <t>Loan amount</t>
        </is>
      </c>
      <c r="E5" s="10">
        <f>$B$5*(1-$B$9)</f>
        <v/>
      </c>
      <c r="F5" s="21" t="inlineStr">
        <is>
          <t>Price x (1 minus down payment percent)</t>
        </is>
      </c>
    </row>
    <row r="6" ht="17" customHeight="1">
      <c r="A6" s="20" t="inlineStr">
        <is>
          <t>Closing costs at purchase</t>
        </is>
      </c>
      <c r="B6" s="8" t="n">
        <v>9500</v>
      </c>
      <c r="D6" s="20" t="inlineStr">
        <is>
          <t>Down payment</t>
        </is>
      </c>
      <c r="E6" s="10">
        <f>$B$5*$B$9</f>
        <v/>
      </c>
      <c r="F6" s="21" t="inlineStr">
        <is>
          <t>Price x down payment percent</t>
        </is>
      </c>
    </row>
    <row r="7" ht="17" customHeight="1">
      <c r="A7" s="20" t="inlineStr">
        <is>
          <t>Rehab or repairs at purchase</t>
        </is>
      </c>
      <c r="B7" s="8" t="n">
        <v>5000</v>
      </c>
      <c r="D7" s="20">
        <f>IF($B$12&gt;0,"Monthly payment, interest only","Monthly payment, principal and interest")</f>
        <v/>
      </c>
      <c r="E7" s="10">
        <f>IF($B$12&gt;0,$E$5*$B$10/12,PMT($B$10/12,$B$11*12,-$E$5))</f>
        <v/>
      </c>
      <c r="F7" s="21" t="inlineStr">
        <is>
          <t>Interest only when interest-only months is above 0</t>
        </is>
      </c>
    </row>
    <row r="8" ht="22" customHeight="1">
      <c r="A8" s="18" t="inlineStr">
        <is>
          <t>LOAN</t>
        </is>
      </c>
      <c r="B8" s="19" t="n"/>
      <c r="D8" s="20" t="inlineStr">
        <is>
          <t>Monthly PITIA</t>
        </is>
      </c>
      <c r="E8" s="10">
        <f>$E$7+$B$18/12+$B$19/12+$B$20</f>
        <v/>
      </c>
      <c r="F8" s="21" t="inlineStr">
        <is>
          <t>Payment + taxes / 12 + insurance / 12 + HOA</t>
        </is>
      </c>
    </row>
    <row r="9" ht="17" customHeight="1">
      <c r="A9" s="20" t="inlineStr">
        <is>
          <t>Down payment, percent of price</t>
        </is>
      </c>
      <c r="B9" s="22" t="n">
        <v>0.25</v>
      </c>
      <c r="D9" s="12" t="inlineStr">
        <is>
          <t>DSCR, lender style</t>
        </is>
      </c>
      <c r="E9" s="23">
        <f>IF($E$8&gt;0,$B$14/$E$8,0)</f>
        <v/>
      </c>
      <c r="F9" s="21" t="inlineStr">
        <is>
          <t>Gross monthly rent / PITIA</t>
        </is>
      </c>
    </row>
    <row r="10" ht="17" customHeight="1">
      <c r="A10" s="20" t="inlineStr">
        <is>
          <t>Interest rate</t>
        </is>
      </c>
      <c r="B10" s="24" t="n">
        <v>0.06875000000000001</v>
      </c>
      <c r="D10" s="12" t="inlineStr">
        <is>
          <t>DSCR check</t>
        </is>
      </c>
      <c r="E10" s="25">
        <f>IF($E$9&gt;=1.25,"1.25 or higher: strong for most DSCR loans",IF($E$9&gt;=1,"1.00 to 1.24: meets many DSCR loan programs","Below 1.00: fewer programs, usually more down"))</f>
        <v/>
      </c>
      <c r="F10" s="26" t="n"/>
    </row>
    <row r="11" ht="22" customHeight="1">
      <c r="A11" s="20" t="inlineStr">
        <is>
          <t>Loan term, years</t>
        </is>
      </c>
      <c r="B11" s="27" t="n">
        <v>30</v>
      </c>
      <c r="D11" s="18" t="inlineStr">
        <is>
          <t>INCOME AND EXPENSES, ANNUAL</t>
        </is>
      </c>
      <c r="E11" s="19" t="n"/>
      <c r="F11" s="19" t="n"/>
    </row>
    <row r="12" ht="17" customHeight="1">
      <c r="A12" s="20" t="inlineStr">
        <is>
          <t>Interest-only months (0 means amortizing)</t>
        </is>
      </c>
      <c r="B12" s="27" t="n">
        <v>0</v>
      </c>
      <c r="D12" s="20" t="inlineStr">
        <is>
          <t>Gross potential income</t>
        </is>
      </c>
      <c r="E12" s="10">
        <f>($B$14+$B$15)*12</f>
        <v/>
      </c>
      <c r="F12" s="21" t="inlineStr">
        <is>
          <t>(Rent + other income) x 12</t>
        </is>
      </c>
    </row>
    <row r="13" ht="22" customHeight="1">
      <c r="A13" s="18" t="inlineStr">
        <is>
          <t>INCOME</t>
        </is>
      </c>
      <c r="B13" s="19" t="n"/>
      <c r="D13" s="20" t="inlineStr">
        <is>
          <t>Vacancy loss</t>
        </is>
      </c>
      <c r="E13" s="10">
        <f>$E$12*$B$16</f>
        <v/>
      </c>
      <c r="F13" s="21" t="inlineStr">
        <is>
          <t>Gross potential income x vacancy percent</t>
        </is>
      </c>
    </row>
    <row r="14" ht="17" customHeight="1">
      <c r="A14" s="20" t="inlineStr">
        <is>
          <t>Gross monthly rent, all units</t>
        </is>
      </c>
      <c r="B14" s="8" t="n">
        <v>3400</v>
      </c>
      <c r="D14" s="20" t="inlineStr">
        <is>
          <t>Effective gross income (EGI)</t>
        </is>
      </c>
      <c r="E14" s="10">
        <f>$E$12-$E$13</f>
        <v/>
      </c>
      <c r="F14" s="21" t="inlineStr">
        <is>
          <t>Gross potential income minus vacancy loss</t>
        </is>
      </c>
    </row>
    <row r="15" ht="17" customHeight="1">
      <c r="A15" s="20" t="inlineStr">
        <is>
          <t>Other monthly income (laundry, pet, storage)</t>
        </is>
      </c>
      <c r="B15" s="8" t="n">
        <v>100</v>
      </c>
      <c r="D15" s="20" t="inlineStr">
        <is>
          <t>Operating expenses</t>
        </is>
      </c>
      <c r="E15" s="10">
        <f>$B$38</f>
        <v/>
      </c>
      <c r="F15" s="21" t="inlineStr">
        <is>
          <t>Line by line at left, under operating expenses</t>
        </is>
      </c>
    </row>
    <row r="16" ht="17" customHeight="1">
      <c r="A16" s="20" t="inlineStr">
        <is>
          <t>Vacancy, percent of gross potential income</t>
        </is>
      </c>
      <c r="B16" s="22" t="n">
        <v>0.05</v>
      </c>
      <c r="D16" s="12" t="inlineStr">
        <is>
          <t>Net operating income (NOI)</t>
        </is>
      </c>
      <c r="E16" s="28">
        <f>$E$14-$E$15</f>
        <v/>
      </c>
      <c r="F16" s="21" t="inlineStr">
        <is>
          <t>EGI minus operating expenses, before debt service</t>
        </is>
      </c>
    </row>
    <row r="17" ht="22" customHeight="1">
      <c r="A17" s="18" t="inlineStr">
        <is>
          <t>EXPENSES</t>
        </is>
      </c>
      <c r="B17" s="19" t="n"/>
      <c r="D17" s="20" t="inlineStr">
        <is>
          <t>Cap rate on price</t>
        </is>
      </c>
      <c r="E17" s="29">
        <f>IF($B$5&gt;0,$E$16/$B$5,0)</f>
        <v/>
      </c>
      <c r="F17" s="21" t="inlineStr">
        <is>
          <t>NOI / purchase price</t>
        </is>
      </c>
    </row>
    <row r="18" ht="22" customHeight="1">
      <c r="A18" s="20" t="inlineStr">
        <is>
          <t>Property taxes per year</t>
        </is>
      </c>
      <c r="B18" s="8" t="n">
        <v>6100</v>
      </c>
      <c r="D18" s="18" t="inlineStr">
        <is>
          <t>CASH FLOW AND RETURNS</t>
        </is>
      </c>
      <c r="E18" s="19" t="n"/>
      <c r="F18" s="19" t="n"/>
    </row>
    <row r="19" ht="17" customHeight="1">
      <c r="A19" s="20" t="inlineStr">
        <is>
          <t>Insurance per year</t>
        </is>
      </c>
      <c r="B19" s="8" t="n">
        <v>3000</v>
      </c>
      <c r="D19" s="20" t="inlineStr">
        <is>
          <t>Annual debt service</t>
        </is>
      </c>
      <c r="E19" s="10">
        <f>$E$7*12</f>
        <v/>
      </c>
      <c r="F19" s="21" t="inlineStr">
        <is>
          <t>Monthly payment x 12 (taxes and insurance sit in expenses)</t>
        </is>
      </c>
    </row>
    <row r="20" ht="17" customHeight="1">
      <c r="A20" s="20" t="inlineStr">
        <is>
          <t>HOA dues per month</t>
        </is>
      </c>
      <c r="B20" s="8" t="n">
        <v>0</v>
      </c>
      <c r="D20" s="12" t="inlineStr">
        <is>
          <t>Annual cash flow</t>
        </is>
      </c>
      <c r="E20" s="28">
        <f>$E$16-$E$19</f>
        <v/>
      </c>
      <c r="F20" s="21" t="inlineStr">
        <is>
          <t>NOI minus annual debt service</t>
        </is>
      </c>
    </row>
    <row r="21" ht="17" customHeight="1">
      <c r="A21" s="20" t="inlineStr">
        <is>
          <t>Management, percent of collected rent</t>
        </is>
      </c>
      <c r="B21" s="22" t="n">
        <v>0.08</v>
      </c>
      <c r="D21" s="12" t="inlineStr">
        <is>
          <t>Monthly cash flow</t>
        </is>
      </c>
      <c r="E21" s="28">
        <f>$E$20/12</f>
        <v/>
      </c>
      <c r="F21" s="21" t="inlineStr">
        <is>
          <t>Annual cash flow / 12</t>
        </is>
      </c>
    </row>
    <row r="22" ht="17" customHeight="1">
      <c r="A22" s="20" t="inlineStr">
        <is>
          <t>Maintenance, percent of gross rent</t>
        </is>
      </c>
      <c r="B22" s="22" t="n">
        <v>0.05</v>
      </c>
      <c r="D22" s="20" t="inlineStr">
        <is>
          <t>Total cash invested</t>
        </is>
      </c>
      <c r="E22" s="10">
        <f>$E$6+$B$6+$B$7</f>
        <v/>
      </c>
      <c r="F22" s="21" t="inlineStr">
        <is>
          <t>Down payment + closing costs + rehab</t>
        </is>
      </c>
    </row>
    <row r="23" ht="17" customHeight="1">
      <c r="A23" s="20" t="inlineStr">
        <is>
          <t>Capex reserve, percent of gross rent</t>
        </is>
      </c>
      <c r="B23" s="22" t="n">
        <v>0.04</v>
      </c>
      <c r="D23" s="12" t="inlineStr">
        <is>
          <t>Cash-on-cash return</t>
        </is>
      </c>
      <c r="E23" s="30">
        <f>IF($E$22&gt;0,$E$20/$E$22,0)</f>
        <v/>
      </c>
      <c r="F23" s="21" t="inlineStr">
        <is>
          <t>Annual cash flow / total cash invested</t>
        </is>
      </c>
    </row>
    <row r="24" ht="22" customHeight="1">
      <c r="A24" s="20" t="inlineStr">
        <is>
          <t>Owner-paid utilities per month</t>
        </is>
      </c>
      <c r="B24" s="8" t="n">
        <v>90</v>
      </c>
      <c r="D24" s="18" t="inlineStr">
        <is>
          <t>QUICK SCREENS</t>
        </is>
      </c>
      <c r="E24" s="19" t="n"/>
      <c r="F24" s="19" t="n"/>
    </row>
    <row r="25" ht="17" customHeight="1">
      <c r="A25" s="20" t="inlineStr">
        <is>
          <t>Other expenses per month</t>
        </is>
      </c>
      <c r="B25" s="8" t="n">
        <v>0</v>
      </c>
      <c r="D25" s="20" t="inlineStr">
        <is>
          <t>Gross rent multiplier</t>
        </is>
      </c>
      <c r="E25" s="31">
        <f>IF($B$14&gt;0,$B$5/($B$14*12),0)</f>
        <v/>
      </c>
      <c r="F25" s="21" t="inlineStr">
        <is>
          <t>Price / annual gross rent. Lower is better</t>
        </is>
      </c>
    </row>
    <row r="26" ht="17" customHeight="1">
      <c r="D26" s="20" t="inlineStr">
        <is>
          <t>1 percent rule (monthly rent / price)</t>
        </is>
      </c>
      <c r="E26" s="29">
        <f>IF($B$5&gt;0,$B$14/$B$5,0)</f>
        <v/>
      </c>
      <c r="F26" s="21" t="inlineStr">
        <is>
          <t>1.00% or more passes this quick screen</t>
        </is>
      </c>
    </row>
    <row r="27" ht="22" customHeight="1">
      <c r="A27" s="18" t="inlineStr">
        <is>
          <t>OPERATING EXPENSES, ANNUAL</t>
        </is>
      </c>
      <c r="B27" s="19" t="n"/>
      <c r="D27" s="12" t="inlineStr">
        <is>
          <t>1 percent rule check</t>
        </is>
      </c>
      <c r="E27" s="25">
        <f>IF($E$26&gt;=0.01,"Meets the 1 percent rule","Below the 1 percent rule; judge it on cash flow and DSCR")</f>
        <v/>
      </c>
      <c r="F27" s="26" t="n"/>
    </row>
    <row r="28" ht="17" customHeight="1">
      <c r="A28" s="20" t="inlineStr">
        <is>
          <t>Property taxes</t>
        </is>
      </c>
      <c r="B28" s="10">
        <f>$B$18</f>
        <v/>
      </c>
      <c r="D28" s="20" t="inlineStr">
        <is>
          <t>Break-even occupancy</t>
        </is>
      </c>
      <c r="E28" s="32">
        <f>IF($E$12&gt;0,($E$15+$E$19)/$E$12,0)</f>
        <v/>
      </c>
      <c r="F28" s="21" t="inlineStr">
        <is>
          <t>(Operating expenses + debt service) / gross potential income</t>
        </is>
      </c>
    </row>
    <row r="29" ht="17" customHeight="1">
      <c r="A29" s="20" t="inlineStr">
        <is>
          <t>Insurance</t>
        </is>
      </c>
      <c r="B29" s="10">
        <f>$B$19</f>
        <v/>
      </c>
    </row>
    <row r="30" ht="17" customHeight="1">
      <c r="A30" s="20" t="inlineStr">
        <is>
          <t>HOA dues (monthly x 12)</t>
        </is>
      </c>
      <c r="B30" s="10">
        <f>$B$20*12</f>
        <v/>
      </c>
    </row>
    <row r="31" ht="17" customHeight="1">
      <c r="A31" s="20" t="inlineStr">
        <is>
          <t>Owner-paid utilities (monthly x 12)</t>
        </is>
      </c>
      <c r="B31" s="10">
        <f>$B$24*12</f>
        <v/>
      </c>
    </row>
    <row r="32" ht="17" customHeight="1">
      <c r="A32" s="20" t="inlineStr">
        <is>
          <t>Other expenses (monthly x 12)</t>
        </is>
      </c>
      <c r="B32" s="10">
        <f>$B$25*12</f>
        <v/>
      </c>
    </row>
    <row r="33" ht="17" customHeight="1">
      <c r="A33" s="12" t="inlineStr">
        <is>
          <t>Fixed expenses subtotal</t>
        </is>
      </c>
      <c r="B33" s="28">
        <f>SUM($B$28:$B$32)</f>
        <v/>
      </c>
    </row>
    <row r="34" ht="17" customHeight="1">
      <c r="A34" s="20" t="inlineStr">
        <is>
          <t>Management (collected rent x percent)</t>
        </is>
      </c>
      <c r="B34" s="10">
        <f>$B$21*$B$14*12*(1-$B$16)</f>
        <v/>
      </c>
    </row>
    <row r="35" ht="17" customHeight="1">
      <c r="A35" s="20" t="inlineStr">
        <is>
          <t>Maintenance (gross rent x percent)</t>
        </is>
      </c>
      <c r="B35" s="10">
        <f>$B$22*$B$14*12</f>
        <v/>
      </c>
    </row>
    <row r="36" ht="17" customHeight="1">
      <c r="A36" s="20" t="inlineStr">
        <is>
          <t>Capex reserve (gross rent x percent)</t>
        </is>
      </c>
      <c r="B36" s="10">
        <f>$B$23*$B$14*12</f>
        <v/>
      </c>
    </row>
    <row r="37" ht="17" customHeight="1">
      <c r="A37" s="12" t="inlineStr">
        <is>
          <t>Rent-based expenses subtotal</t>
        </is>
      </c>
      <c r="B37" s="28">
        <f>SUM($B$34:$B$36)</f>
        <v/>
      </c>
    </row>
    <row r="38" ht="17" customHeight="1">
      <c r="A38" s="12" t="inlineStr">
        <is>
          <t>Total operating expenses</t>
        </is>
      </c>
      <c r="B38" s="28">
        <f>$B$33+$B$37</f>
        <v/>
      </c>
    </row>
    <row r="39"/>
    <row r="40" ht="17" customHeight="1">
      <c r="A40" s="14" t="inlineStr">
        <is>
          <t>Alura Capital | George Schembri III, NMLS 2103836 | Loans originated by NEXA Mortgage LLC, NMLS 1660690 | Licensed in Florida | (813) 356-9448 | info@aluracapital.com</t>
        </is>
      </c>
      <c r="B40" s="15" t="n"/>
      <c r="C40" s="15" t="n"/>
      <c r="D40" s="15" t="n"/>
      <c r="E40" s="15" t="n"/>
      <c r="F40" s="15" t="n"/>
    </row>
    <row r="41" ht="17" customHeight="1">
      <c r="A41" s="16" t="inlineStr">
        <is>
          <t>For planning only. Not a commitment to lend, and not tax, legal, or investment advice. Equal Housing Opportunity.</t>
        </is>
      </c>
    </row>
  </sheetData>
  <mergeCells count="5">
    <mergeCell ref="A41:F41"/>
    <mergeCell ref="A2:F2"/>
    <mergeCell ref="E10:F10"/>
    <mergeCell ref="E27:F27"/>
    <mergeCell ref="A40:F40"/>
  </mergeCells>
  <dataValidations count="5">
    <dataValidation sqref="B5 B6 B7 B14 B15 B18 B19 B20 B24 B25" showDropDown="0" showInputMessage="0" showErrorMessage="1" allowBlank="1" errorTitle="Check this entry" error="Enter a dollar amount of zero or more." type="decimal" operator="greaterThanOrEqual">
      <formula1>0</formula1>
    </dataValidation>
    <dataValidation sqref="B9 B16 B21 B22 B23" showDropDown="0" showInputMessage="0" showErrorMessage="1" allowBlank="1" errorTitle="Check this entry" error="Enter a percent from 0% to 100%, with the % sign." type="decimal" operator="between">
      <formula1>0</formula1>
      <formula2>1</formula2>
    </dataValidation>
    <dataValidation sqref="B10" showDropDown="0" showInputMessage="0" showErrorMessage="1" allowBlank="1" errorTitle="Check this entry" error="Enter the interest rate as a percent, for example 7.25%." type="decimal" operator="between">
      <formula1>0</formula1>
      <formula2>0.3</formula2>
    </dataValidation>
    <dataValidation sqref="B11" showDropDown="0" showInputMessage="0" showErrorMessage="1" allowBlank="1" errorTitle="Check this entry" error="Enter whole years from 1 to 40." type="whole" operator="between">
      <formula1>1</formula1>
      <formula2>40</formula2>
    </dataValidation>
    <dataValidation sqref="B12" showDropDown="0" showInputMessage="0" showErrorMessage="1" allowBlank="1" errorTitle="Check this entry" error="Enter whole months, 0 or more. Use 0 for a fully amortizing loan." type="whole" operator="between">
      <formula1>0</formula1>
      <formula2>480</formula2>
    </dataValidation>
  </dataValidations>
  <printOptions horizontalCentered="1"/>
  <pageMargins left="0.4" right="0.4" top="0.5" bottom="0.6" header="0.5" footer="0.3"/>
  <pageSetup orientation="landscape" paperSize="1" fitToHeight="1" fitToWidth="1"/>
  <headerFooter>
    <oddHeader/>
    <oddFooter>&amp;L&amp;"Calibri,Regular"&amp;8 &amp;K5A5245Alura Capital | NMLS 2103836 | NEXA Mortgage LLC, NMLS 1660690 | Equal Housing Opportunity&amp;R&amp;"Calibri,Regular"&amp;8 &amp;K5A5245Page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B8892A"/>
    <outlinePr summaryBelow="1" summaryRight="1"/>
    <pageSetUpPr fitToPage="1"/>
  </sheetPr>
  <dimension ref="A1:H53"/>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46" customWidth="1" min="8" max="8"/>
  </cols>
  <sheetData>
    <row r="1" ht="38" customHeight="1">
      <c r="A1" s="1" t="inlineStr">
        <is>
          <r>
            <rPr>
              <rFont val="Calibri"/>
              <b val="1"/>
              <color rgb="FF14110C"/>
              <sz val="18"/>
            </rPr>
            <t>5-Year Pro Forma</t>
          </r>
          <r>
            <rPr>
              <rFont val="Calibri"/>
              <color rgb="FF5A5245"/>
              <sz val="10"/>
            </rPr>
            <t xml:space="preserve">     alura-deal-analyzer.xlsx</t>
          </r>
        </is>
      </c>
      <c r="B1" s="2" t="n"/>
      <c r="C1" s="2" t="n"/>
      <c r="D1" s="2" t="n"/>
      <c r="E1" s="2" t="n"/>
      <c r="F1" s="2" t="n"/>
      <c r="G1" s="2" t="n"/>
      <c r="H1" s="2" t="n"/>
    </row>
    <row r="2" ht="20" customHeight="1">
      <c r="A2" s="3" t="inlineStr">
        <is>
          <t>How to use: set the four gold growth assumptions. Year 1 comes from the Rental analyzer, and the property sells at the end of year 5.</t>
        </is>
      </c>
    </row>
    <row r="3" ht="22" customHeight="1">
      <c r="A3" s="4" t="inlineStr">
        <is>
          <t>Growth assumptions</t>
        </is>
      </c>
      <c r="B3" s="17" t="inlineStr">
        <is>
          <t>Your numbers</t>
        </is>
      </c>
      <c r="C3" s="4" t="inlineStr">
        <is>
          <t>Notes</t>
        </is>
      </c>
      <c r="D3" s="5" t="n"/>
      <c r="E3" s="5" t="n"/>
      <c r="F3" s="5" t="n"/>
      <c r="G3" s="5" t="n"/>
      <c r="H3" s="5" t="n"/>
    </row>
    <row r="4" ht="17" customHeight="1">
      <c r="A4" s="20" t="inlineStr">
        <is>
          <t>Rent and other income growth per year</t>
        </is>
      </c>
      <c r="B4" s="22" t="n">
        <v>0.03</v>
      </c>
      <c r="C4" s="21" t="inlineStr">
        <is>
          <t>Applies to rent, other income and the rent-based expenses</t>
        </is>
      </c>
    </row>
    <row r="5" ht="17" customHeight="1">
      <c r="A5" s="20" t="inlineStr">
        <is>
          <t>Expense growth per year</t>
        </is>
      </c>
      <c r="B5" s="22" t="n">
        <v>0.03</v>
      </c>
      <c r="C5" s="21" t="inlineStr">
        <is>
          <t>Applies to taxes, insurance, HOA, utilities and other expenses</t>
        </is>
      </c>
    </row>
    <row r="6" ht="17" customHeight="1">
      <c r="A6" s="20" t="inlineStr">
        <is>
          <t>Property value growth (appreciation) per year</t>
        </is>
      </c>
      <c r="B6" s="22" t="n">
        <v>0.035</v>
      </c>
      <c r="C6" s="21" t="inlineStr">
        <is>
          <t>Grows the purchase price each year</t>
        </is>
      </c>
    </row>
    <row r="7" ht="17" customHeight="1">
      <c r="A7" s="20" t="inlineStr">
        <is>
          <t>Selling costs at the year-5 sale</t>
        </is>
      </c>
      <c r="B7" s="22" t="n">
        <v>0.07000000000000001</v>
      </c>
      <c r="C7" s="21" t="inlineStr">
        <is>
          <t>Commission and closing costs, as a percent of the sale price</t>
        </is>
      </c>
    </row>
    <row r="8" ht="10" customHeight="1"/>
    <row r="9" ht="22" customHeight="1">
      <c r="A9" s="4" t="inlineStr">
        <is>
          <t>Projection</t>
        </is>
      </c>
      <c r="B9" s="33" t="n">
        <v>0</v>
      </c>
      <c r="C9" s="33" t="n">
        <v>1</v>
      </c>
      <c r="D9" s="33" t="n">
        <v>2</v>
      </c>
      <c r="E9" s="33" t="n">
        <v>3</v>
      </c>
      <c r="F9" s="33" t="n">
        <v>4</v>
      </c>
      <c r="G9" s="33" t="n">
        <v>5</v>
      </c>
      <c r="H9" s="4" t="inlineStr">
        <is>
          <t>Notes</t>
        </is>
      </c>
    </row>
    <row r="10" ht="22" customHeight="1">
      <c r="A10" s="18" t="inlineStr">
        <is>
          <t>OPERATIONS</t>
        </is>
      </c>
      <c r="B10" s="19" t="n"/>
      <c r="C10" s="19" t="n"/>
      <c r="D10" s="19" t="n"/>
      <c r="E10" s="19" t="n"/>
      <c r="F10" s="19" t="n"/>
      <c r="G10" s="19" t="n"/>
      <c r="H10" s="19" t="n"/>
    </row>
    <row r="11" ht="29" customHeight="1">
      <c r="A11" s="20" t="inlineStr">
        <is>
          <t>Gross potential income (rent plus other income)</t>
        </is>
      </c>
      <c r="B11" s="10" t="n"/>
      <c r="C11" s="10">
        <f>$B$47*(1+$B$4)^(C$9-1)</f>
        <v/>
      </c>
      <c r="D11" s="10">
        <f>$B$47*(1+$B$4)^(D$9-1)</f>
        <v/>
      </c>
      <c r="E11" s="10">
        <f>$B$47*(1+$B$4)^(E$9-1)</f>
        <v/>
      </c>
      <c r="F11" s="10">
        <f>$B$47*(1+$B$4)^(F$9-1)</f>
        <v/>
      </c>
      <c r="G11" s="10">
        <f>$B$47*(1+$B$4)^(G$9-1)</f>
        <v/>
      </c>
      <c r="H11" s="21" t="inlineStr">
        <is>
          <t>Year 1 from the Rental analyzer, then grows at rent growth</t>
        </is>
      </c>
    </row>
    <row r="12" ht="17" customHeight="1">
      <c r="A12" s="20" t="inlineStr">
        <is>
          <t>Less vacancy</t>
        </is>
      </c>
      <c r="B12" s="10" t="n"/>
      <c r="C12" s="10">
        <f>C11*$B$46</f>
        <v/>
      </c>
      <c r="D12" s="10">
        <f>D11*$B$46</f>
        <v/>
      </c>
      <c r="E12" s="10">
        <f>E11*$B$46</f>
        <v/>
      </c>
      <c r="F12" s="10">
        <f>F11*$B$46</f>
        <v/>
      </c>
      <c r="G12" s="10">
        <f>G11*$B$46</f>
        <v/>
      </c>
      <c r="H12" s="21" t="inlineStr">
        <is>
          <t>Gross potential income x vacancy percent</t>
        </is>
      </c>
    </row>
    <row r="13" ht="17" customHeight="1">
      <c r="A13" s="20" t="inlineStr">
        <is>
          <t>Effective gross income</t>
        </is>
      </c>
      <c r="B13" s="10" t="n"/>
      <c r="C13" s="10">
        <f>C11-C12</f>
        <v/>
      </c>
      <c r="D13" s="10">
        <f>D11-D12</f>
        <v/>
      </c>
      <c r="E13" s="10">
        <f>E11-E12</f>
        <v/>
      </c>
      <c r="F13" s="10">
        <f>F11-F12</f>
        <v/>
      </c>
      <c r="G13" s="10">
        <f>G11-G12</f>
        <v/>
      </c>
      <c r="H13" s="21" t="inlineStr">
        <is>
          <t>Gross potential income minus vacancy</t>
        </is>
      </c>
    </row>
    <row r="14" ht="17" customHeight="1">
      <c r="A14" s="20" t="inlineStr">
        <is>
          <t>Fixed expenses (taxes, insurance, HOA, utilities, other)</t>
        </is>
      </c>
      <c r="B14" s="10" t="n"/>
      <c r="C14" s="10">
        <f>$B$48*(1+$B$5)^(C$9-1)</f>
        <v/>
      </c>
      <c r="D14" s="10">
        <f>$B$48*(1+$B$5)^(D$9-1)</f>
        <v/>
      </c>
      <c r="E14" s="10">
        <f>$B$48*(1+$B$5)^(E$9-1)</f>
        <v/>
      </c>
      <c r="F14" s="10">
        <f>$B$48*(1+$B$5)^(F$9-1)</f>
        <v/>
      </c>
      <c r="G14" s="10">
        <f>$B$48*(1+$B$5)^(G$9-1)</f>
        <v/>
      </c>
      <c r="H14" s="21" t="inlineStr">
        <is>
          <t>Grows at expense growth</t>
        </is>
      </c>
    </row>
    <row r="15" ht="17" customHeight="1">
      <c r="A15" s="20" t="inlineStr">
        <is>
          <t>Rent-based expenses (management, maintenance, capex)</t>
        </is>
      </c>
      <c r="B15" s="10" t="n"/>
      <c r="C15" s="10">
        <f>$B$49*(1+$B$4)^(C$9-1)</f>
        <v/>
      </c>
      <c r="D15" s="10">
        <f>$B$49*(1+$B$4)^(D$9-1)</f>
        <v/>
      </c>
      <c r="E15" s="10">
        <f>$B$49*(1+$B$4)^(E$9-1)</f>
        <v/>
      </c>
      <c r="F15" s="10">
        <f>$B$49*(1+$B$4)^(F$9-1)</f>
        <v/>
      </c>
      <c r="G15" s="10">
        <f>$B$49*(1+$B$4)^(G$9-1)</f>
        <v/>
      </c>
      <c r="H15" s="21" t="inlineStr">
        <is>
          <t>Percent of rent, so it grows with rent</t>
        </is>
      </c>
    </row>
    <row r="16" ht="17" customHeight="1">
      <c r="A16" s="20" t="inlineStr">
        <is>
          <t>Operating expenses</t>
        </is>
      </c>
      <c r="B16" s="10" t="n"/>
      <c r="C16" s="10">
        <f>C14+C15</f>
        <v/>
      </c>
      <c r="D16" s="10">
        <f>D14+D15</f>
        <v/>
      </c>
      <c r="E16" s="10">
        <f>E14+E15</f>
        <v/>
      </c>
      <c r="F16" s="10">
        <f>F14+F15</f>
        <v/>
      </c>
      <c r="G16" s="10">
        <f>G14+G15</f>
        <v/>
      </c>
      <c r="H16" s="21" t="inlineStr">
        <is>
          <t>Fixed plus rent-based expenses</t>
        </is>
      </c>
    </row>
    <row r="17" ht="17" customHeight="1">
      <c r="A17" s="12" t="inlineStr">
        <is>
          <t>Net operating income (NOI)</t>
        </is>
      </c>
      <c r="B17" s="28" t="n"/>
      <c r="C17" s="28">
        <f>C13-C16</f>
        <v/>
      </c>
      <c r="D17" s="28">
        <f>D13-D16</f>
        <v/>
      </c>
      <c r="E17" s="28">
        <f>E13-E16</f>
        <v/>
      </c>
      <c r="F17" s="28">
        <f>F13-F16</f>
        <v/>
      </c>
      <c r="G17" s="28">
        <f>G13-G16</f>
        <v/>
      </c>
      <c r="H17" s="21" t="inlineStr">
        <is>
          <t>Effective gross income minus operating expenses</t>
        </is>
      </c>
    </row>
    <row r="18" ht="22" customHeight="1">
      <c r="A18" s="18" t="inlineStr">
        <is>
          <t>DEBT</t>
        </is>
      </c>
      <c r="B18" s="19" t="n"/>
      <c r="C18" s="19" t="n"/>
      <c r="D18" s="19" t="n"/>
      <c r="E18" s="19" t="n"/>
      <c r="F18" s="19" t="n"/>
      <c r="G18" s="19" t="n"/>
      <c r="H18" s="19" t="n"/>
    </row>
    <row r="19" ht="17" customHeight="1">
      <c r="A19" s="20" t="inlineStr">
        <is>
          <t>Interest-only months in the year</t>
        </is>
      </c>
      <c r="B19" s="34" t="n"/>
      <c r="C19" s="34">
        <f>MAX(0,MIN(C$9*12,$B$43)-(C$9-1)*12)</f>
        <v/>
      </c>
      <c r="D19" s="34">
        <f>MAX(0,MIN(D$9*12,$B$43)-(D$9-1)*12)</f>
        <v/>
      </c>
      <c r="E19" s="34">
        <f>MAX(0,MIN(E$9*12,$B$43)-(E$9-1)*12)</f>
        <v/>
      </c>
      <c r="F19" s="34">
        <f>MAX(0,MIN(F$9*12,$B$43)-(F$9-1)*12)</f>
        <v/>
      </c>
      <c r="G19" s="34">
        <f>MAX(0,MIN(G$9*12,$B$43)-(G$9-1)*12)</f>
        <v/>
      </c>
      <c r="H19" s="21" t="inlineStr">
        <is>
          <t>From the interest-only months on the Rental analyzer</t>
        </is>
      </c>
    </row>
    <row r="20" ht="17" customHeight="1">
      <c r="A20" s="20" t="inlineStr">
        <is>
          <t>Amortizing months in the year</t>
        </is>
      </c>
      <c r="B20" s="34" t="n"/>
      <c r="C20" s="34">
        <f>MAX(0,MIN(C$9*12,$B$42)-MAX((C$9-1)*12,$B$43))</f>
        <v/>
      </c>
      <c r="D20" s="34">
        <f>MAX(0,MIN(D$9*12,$B$42)-MAX((D$9-1)*12,$B$43))</f>
        <v/>
      </c>
      <c r="E20" s="34">
        <f>MAX(0,MIN(E$9*12,$B$42)-MAX((E$9-1)*12,$B$43))</f>
        <v/>
      </c>
      <c r="F20" s="34">
        <f>MAX(0,MIN(F$9*12,$B$42)-MAX((F$9-1)*12,$B$43))</f>
        <v/>
      </c>
      <c r="G20" s="34">
        <f>MAX(0,MIN(G$9*12,$B$42)-MAX((G$9-1)*12,$B$43))</f>
        <v/>
      </c>
      <c r="H20" s="21" t="inlineStr">
        <is>
          <t>Months with principal and interest payments</t>
        </is>
      </c>
    </row>
    <row r="21" ht="29" customHeight="1">
      <c r="A21" s="20" t="inlineStr">
        <is>
          <t>Debt service</t>
        </is>
      </c>
      <c r="B21" s="10" t="n"/>
      <c r="C21" s="10">
        <f>C19*$B$44+C20*$B$45</f>
        <v/>
      </c>
      <c r="D21" s="10">
        <f>D19*$B$44+D20*$B$45</f>
        <v/>
      </c>
      <c r="E21" s="10">
        <f>E19*$B$44+E20*$B$45</f>
        <v/>
      </c>
      <c r="F21" s="10">
        <f>F19*$B$44+F20*$B$45</f>
        <v/>
      </c>
      <c r="G21" s="10">
        <f>G19*$B$44+G20*$B$45</f>
        <v/>
      </c>
      <c r="H21" s="21" t="inlineStr">
        <is>
          <t>Interest-only months plus amortizing months, paid in the year</t>
        </is>
      </c>
    </row>
    <row r="22" ht="17" customHeight="1">
      <c r="A22" s="12" t="inlineStr">
        <is>
          <t>Cash flow (NOI minus debt service)</t>
        </is>
      </c>
      <c r="B22" s="28" t="n"/>
      <c r="C22" s="28">
        <f>C17-C21</f>
        <v/>
      </c>
      <c r="D22" s="28">
        <f>D17-D21</f>
        <v/>
      </c>
      <c r="E22" s="28">
        <f>E17-E21</f>
        <v/>
      </c>
      <c r="F22" s="28">
        <f>F17-F21</f>
        <v/>
      </c>
      <c r="G22" s="28">
        <f>G17-G21</f>
        <v/>
      </c>
      <c r="H22" s="21" t="inlineStr">
        <is>
          <t>Before income taxes</t>
        </is>
      </c>
    </row>
    <row r="23" ht="22" customHeight="1">
      <c r="A23" s="18" t="inlineStr">
        <is>
          <t>VALUE AND EQUITY</t>
        </is>
      </c>
      <c r="B23" s="19" t="n"/>
      <c r="C23" s="19" t="n"/>
      <c r="D23" s="19" t="n"/>
      <c r="E23" s="19" t="n"/>
      <c r="F23" s="19" t="n"/>
      <c r="G23" s="19" t="n"/>
      <c r="H23" s="19" t="n"/>
    </row>
    <row r="24" ht="29" customHeight="1">
      <c r="A24" s="20" t="inlineStr">
        <is>
          <t>Year-end loan balance</t>
        </is>
      </c>
      <c r="B24" s="10">
        <f>$B$40</f>
        <v/>
      </c>
      <c r="C24" s="10">
        <f>MAX(0,FV($B$41/12,MIN(MAX(0,C$9*12-$B$43),$B$42-$B$43),$B$45,-$B$40))</f>
        <v/>
      </c>
      <c r="D24" s="10">
        <f>MAX(0,FV($B$41/12,MIN(MAX(0,D$9*12-$B$43),$B$42-$B$43),$B$45,-$B$40))</f>
        <v/>
      </c>
      <c r="E24" s="10">
        <f>MAX(0,FV($B$41/12,MIN(MAX(0,E$9*12-$B$43),$B$42-$B$43),$B$45,-$B$40))</f>
        <v/>
      </c>
      <c r="F24" s="10">
        <f>MAX(0,FV($B$41/12,MIN(MAX(0,F$9*12-$B$43),$B$42-$B$43),$B$45,-$B$40))</f>
        <v/>
      </c>
      <c r="G24" s="10">
        <f>MAX(0,FV($B$41/12,MIN(MAX(0,G$9*12-$B$43),$B$42-$B$43),$B$45,-$B$40))</f>
        <v/>
      </c>
      <c r="H24" s="21" t="inlineStr">
        <is>
          <t>Interest only first, then amortizes over the rest of the term</t>
        </is>
      </c>
    </row>
    <row r="25" ht="17" customHeight="1">
      <c r="A25" s="20" t="inlineStr">
        <is>
          <t>Property value</t>
        </is>
      </c>
      <c r="B25" s="10">
        <f>$B$39</f>
        <v/>
      </c>
      <c r="C25" s="10">
        <f>$B$39*(1+$B$6)^C$9</f>
        <v/>
      </c>
      <c r="D25" s="10">
        <f>$B$39*(1+$B$6)^D$9</f>
        <v/>
      </c>
      <c r="E25" s="10">
        <f>$B$39*(1+$B$6)^E$9</f>
        <v/>
      </c>
      <c r="F25" s="10">
        <f>$B$39*(1+$B$6)^F$9</f>
        <v/>
      </c>
      <c r="G25" s="10">
        <f>$B$39*(1+$B$6)^G$9</f>
        <v/>
      </c>
      <c r="H25" s="21" t="inlineStr">
        <is>
          <t>Purchase price grown at appreciation</t>
        </is>
      </c>
    </row>
    <row r="26" ht="17" customHeight="1">
      <c r="A26" s="12" t="inlineStr">
        <is>
          <t>Equity</t>
        </is>
      </c>
      <c r="B26" s="28">
        <f>B25-B24</f>
        <v/>
      </c>
      <c r="C26" s="28">
        <f>C25-C24</f>
        <v/>
      </c>
      <c r="D26" s="28">
        <f>D25-D24</f>
        <v/>
      </c>
      <c r="E26" s="28">
        <f>E25-E24</f>
        <v/>
      </c>
      <c r="F26" s="28">
        <f>F25-F24</f>
        <v/>
      </c>
      <c r="G26" s="28">
        <f>G25-G24</f>
        <v/>
      </c>
      <c r="H26" s="21" t="inlineStr">
        <is>
          <t>Property value minus loan balance</t>
        </is>
      </c>
    </row>
    <row r="27" ht="22" customHeight="1">
      <c r="A27" s="18" t="inlineStr">
        <is>
          <t>YEAR-5 SALE</t>
        </is>
      </c>
      <c r="B27" s="19" t="n"/>
      <c r="C27" s="19" t="n"/>
      <c r="D27" s="19" t="n"/>
      <c r="E27" s="19" t="n"/>
      <c r="F27" s="19" t="n"/>
      <c r="G27" s="19" t="n"/>
      <c r="H27" s="19" t="n"/>
    </row>
    <row r="28" ht="17" customHeight="1">
      <c r="A28" s="20" t="inlineStr">
        <is>
          <t>Sale price</t>
        </is>
      </c>
      <c r="B28" s="10" t="n"/>
      <c r="C28" s="10" t="n"/>
      <c r="D28" s="10" t="n"/>
      <c r="E28" s="10" t="n"/>
      <c r="F28" s="10" t="n"/>
      <c r="G28" s="10">
        <f>G25</f>
        <v/>
      </c>
      <c r="H28" s="21" t="inlineStr">
        <is>
          <t>Year-5 property value</t>
        </is>
      </c>
    </row>
    <row r="29" ht="17" customHeight="1">
      <c r="A29" s="20" t="inlineStr">
        <is>
          <t>Less selling costs</t>
        </is>
      </c>
      <c r="B29" s="10" t="n"/>
      <c r="C29" s="10" t="n"/>
      <c r="D29" s="10" t="n"/>
      <c r="E29" s="10" t="n"/>
      <c r="F29" s="10" t="n"/>
      <c r="G29" s="10">
        <f>G28*$B$7</f>
        <v/>
      </c>
      <c r="H29" s="21" t="inlineStr">
        <is>
          <t>Sale price x selling costs percent</t>
        </is>
      </c>
    </row>
    <row r="30" ht="17" customHeight="1">
      <c r="A30" s="20" t="inlineStr">
        <is>
          <t>Less loan payoff</t>
        </is>
      </c>
      <c r="B30" s="10" t="n"/>
      <c r="C30" s="10" t="n"/>
      <c r="D30" s="10" t="n"/>
      <c r="E30" s="10" t="n"/>
      <c r="F30" s="10" t="n"/>
      <c r="G30" s="10">
        <f>G24</f>
        <v/>
      </c>
      <c r="H30" s="21" t="inlineStr">
        <is>
          <t>Year-5 loan balance</t>
        </is>
      </c>
    </row>
    <row r="31" ht="17" customHeight="1">
      <c r="A31" s="12" t="inlineStr">
        <is>
          <t>Net sale proceeds</t>
        </is>
      </c>
      <c r="B31" s="28" t="n"/>
      <c r="C31" s="28" t="n"/>
      <c r="D31" s="28" t="n"/>
      <c r="E31" s="28" t="n"/>
      <c r="F31" s="28" t="n"/>
      <c r="G31" s="28">
        <f>G28-G29-G30</f>
        <v/>
      </c>
      <c r="H31" s="21" t="inlineStr">
        <is>
          <t>Cash to you at the sale</t>
        </is>
      </c>
    </row>
    <row r="32" ht="22" customHeight="1">
      <c r="A32" s="18" t="inlineStr">
        <is>
          <t>RETURNS</t>
        </is>
      </c>
      <c r="B32" s="19" t="n"/>
      <c r="C32" s="19" t="n"/>
      <c r="D32" s="19" t="n"/>
      <c r="E32" s="19" t="n"/>
      <c r="F32" s="19" t="n"/>
      <c r="G32" s="19" t="n"/>
      <c r="H32" s="19" t="n"/>
    </row>
    <row r="33" ht="17" customHeight="1">
      <c r="A33" s="20" t="inlineStr">
        <is>
          <t>Cash flow for IRR</t>
        </is>
      </c>
      <c r="B33" s="10">
        <f>-$B$50</f>
        <v/>
      </c>
      <c r="C33" s="10">
        <f>C22</f>
        <v/>
      </c>
      <c r="D33" s="10">
        <f>D22</f>
        <v/>
      </c>
      <c r="E33" s="10">
        <f>E22</f>
        <v/>
      </c>
      <c r="F33" s="10">
        <f>F22</f>
        <v/>
      </c>
      <c r="G33" s="10">
        <f>G22+G31</f>
        <v/>
      </c>
      <c r="H33" s="21" t="inlineStr">
        <is>
          <t>Year 0 is the cash you put in. Year 5 adds the sale</t>
        </is>
      </c>
    </row>
    <row r="34" ht="17" customHeight="1">
      <c r="A34" s="12" t="inlineStr">
        <is>
          <t>IRR</t>
        </is>
      </c>
      <c r="B34" s="35">
        <f>IFERROR(IRR(B33:G33),"Not defined")</f>
        <v/>
      </c>
      <c r="C34" s="35" t="n"/>
      <c r="D34" s="35" t="n"/>
      <c r="E34" s="35" t="n"/>
      <c r="F34" s="35" t="n"/>
      <c r="G34" s="35" t="n"/>
      <c r="H34" s="21" t="inlineStr">
        <is>
          <t>Yearly return on the row above</t>
        </is>
      </c>
    </row>
    <row r="35" ht="17" customHeight="1">
      <c r="A35" s="12" t="inlineStr">
        <is>
          <t>Equity multiple</t>
        </is>
      </c>
      <c r="B35" s="23">
        <f>IF($B$50&gt;0,SUM(C33:G33)/$B$50,0)</f>
        <v/>
      </c>
      <c r="C35" s="23" t="n"/>
      <c r="D35" s="23" t="n"/>
      <c r="E35" s="23" t="n"/>
      <c r="F35" s="23" t="n"/>
      <c r="G35" s="23" t="n"/>
      <c r="H35" s="21" t="inlineStr">
        <is>
          <t>Total cash back / total cash invested</t>
        </is>
      </c>
    </row>
    <row r="36" ht="17" customHeight="1">
      <c r="A36" s="20" t="inlineStr">
        <is>
          <t>Total profit</t>
        </is>
      </c>
      <c r="B36" s="10">
        <f>SUM(B33:G33)</f>
        <v/>
      </c>
      <c r="C36" s="10" t="n"/>
      <c r="D36" s="10" t="n"/>
      <c r="E36" s="10" t="n"/>
      <c r="F36" s="10" t="n"/>
      <c r="G36" s="10" t="n"/>
      <c r="H36" s="21" t="inlineStr">
        <is>
          <t>All cash back minus the cash you put in</t>
        </is>
      </c>
    </row>
    <row r="37" ht="10" customHeight="1"/>
    <row r="38" ht="22" customHeight="1">
      <c r="A38" s="4" t="inlineStr">
        <is>
          <t>Linked from the Rental analyzer</t>
        </is>
      </c>
      <c r="B38" s="17" t="inlineStr">
        <is>
          <t>Value</t>
        </is>
      </c>
      <c r="C38" s="4" t="inlineStr">
        <is>
          <t>Change these on the Rental analyzer tab</t>
        </is>
      </c>
      <c r="D38" s="5" t="n"/>
      <c r="E38" s="5" t="n"/>
      <c r="F38" s="5" t="n"/>
      <c r="G38" s="5" t="n"/>
      <c r="H38" s="5" t="n"/>
    </row>
    <row r="39" ht="17" customHeight="1">
      <c r="A39" s="20" t="inlineStr">
        <is>
          <t>Purchase price</t>
        </is>
      </c>
      <c r="B39" s="10">
        <f>'Rental analyzer'!$B$5</f>
        <v/>
      </c>
      <c r="C39" s="21" t="inlineStr">
        <is>
          <t>Rental analyzer, purchase price</t>
        </is>
      </c>
    </row>
    <row r="40" ht="17" customHeight="1">
      <c r="A40" s="20" t="inlineStr">
        <is>
          <t>Loan amount</t>
        </is>
      </c>
      <c r="B40" s="10">
        <f>'Rental analyzer'!$E$5</f>
        <v/>
      </c>
      <c r="C40" s="21" t="inlineStr">
        <is>
          <t>Rental analyzer, loan amount</t>
        </is>
      </c>
    </row>
    <row r="41" ht="17" customHeight="1">
      <c r="A41" s="20" t="inlineStr">
        <is>
          <t>Interest rate</t>
        </is>
      </c>
      <c r="B41" s="36">
        <f>'Rental analyzer'!$B$10</f>
        <v/>
      </c>
      <c r="C41" s="21" t="inlineStr">
        <is>
          <t>Rental analyzer, interest rate</t>
        </is>
      </c>
    </row>
    <row r="42" ht="17" customHeight="1">
      <c r="A42" s="20" t="inlineStr">
        <is>
          <t>Loan term, months</t>
        </is>
      </c>
      <c r="B42" s="34">
        <f>'Rental analyzer'!$B$11*12</f>
        <v/>
      </c>
      <c r="C42" s="21" t="inlineStr">
        <is>
          <t>Loan term in years x 12</t>
        </is>
      </c>
    </row>
    <row r="43" ht="17" customHeight="1">
      <c r="A43" s="20" t="inlineStr">
        <is>
          <t>Interest-only months used</t>
        </is>
      </c>
      <c r="B43" s="34">
        <f>MIN(MAX('Rental analyzer'!$B$12,0),$B$42-1)</f>
        <v/>
      </c>
      <c r="C43" s="21" t="inlineStr">
        <is>
          <t>Rental analyzer interest-only months, kept below the term</t>
        </is>
      </c>
    </row>
    <row r="44" ht="17" customHeight="1">
      <c r="A44" s="20" t="inlineStr">
        <is>
          <t>Interest-only payment, monthly</t>
        </is>
      </c>
      <c r="B44" s="10">
        <f>$B$40*$B$41/12</f>
        <v/>
      </c>
      <c r="C44" s="21" t="inlineStr">
        <is>
          <t>Loan x rate / 12</t>
        </is>
      </c>
    </row>
    <row r="45" ht="17" customHeight="1">
      <c r="A45" s="20" t="inlineStr">
        <is>
          <t>Amortizing payment after interest only, monthly</t>
        </is>
      </c>
      <c r="B45" s="10">
        <f>PMT($B$41/12,$B$42-$B$43,-$B$40)</f>
        <v/>
      </c>
      <c r="C45" s="21" t="inlineStr">
        <is>
          <t>Amortizes over the months left after interest only</t>
        </is>
      </c>
    </row>
    <row r="46" ht="17" customHeight="1">
      <c r="A46" s="20" t="inlineStr">
        <is>
          <t>Vacancy percent</t>
        </is>
      </c>
      <c r="B46" s="32">
        <f>'Rental analyzer'!$B$16</f>
        <v/>
      </c>
      <c r="C46" s="21" t="inlineStr">
        <is>
          <t>Rental analyzer, vacancy percent</t>
        </is>
      </c>
    </row>
    <row r="47" ht="17" customHeight="1">
      <c r="A47" s="20" t="inlineStr">
        <is>
          <t>Year-1 gross potential income</t>
        </is>
      </c>
      <c r="B47" s="10">
        <f>'Rental analyzer'!$E$12</f>
        <v/>
      </c>
      <c r="C47" s="21" t="inlineStr">
        <is>
          <t>Rental analyzer, rent plus other income</t>
        </is>
      </c>
    </row>
    <row r="48" ht="17" customHeight="1">
      <c r="A48" s="20" t="inlineStr">
        <is>
          <t>Year-1 fixed expenses</t>
        </is>
      </c>
      <c r="B48" s="10">
        <f>'Rental analyzer'!$B$33</f>
        <v/>
      </c>
      <c r="C48" s="21" t="inlineStr">
        <is>
          <t>Taxes, insurance, HOA, utilities and other</t>
        </is>
      </c>
    </row>
    <row r="49" ht="17" customHeight="1">
      <c r="A49" s="20" t="inlineStr">
        <is>
          <t>Year-1 rent-based expenses</t>
        </is>
      </c>
      <c r="B49" s="10">
        <f>'Rental analyzer'!$B$37</f>
        <v/>
      </c>
      <c r="C49" s="21" t="inlineStr">
        <is>
          <t>Management, maintenance and capex reserve</t>
        </is>
      </c>
    </row>
    <row r="50" ht="17" customHeight="1">
      <c r="A50" s="20" t="inlineStr">
        <is>
          <t>Total cash invested</t>
        </is>
      </c>
      <c r="B50" s="10">
        <f>'Rental analyzer'!$E$22</f>
        <v/>
      </c>
      <c r="C50" s="21" t="inlineStr">
        <is>
          <t>Down payment + closing costs + rehab</t>
        </is>
      </c>
    </row>
    <row r="51"/>
    <row r="52" ht="17" customHeight="1">
      <c r="A52" s="14" t="inlineStr">
        <is>
          <t>Alura Capital | George Schembri III, NMLS 2103836 | Loans originated by NEXA Mortgage LLC, NMLS 1660690 | Licensed in Florida | (813) 356-9448 | info@aluracapital.com</t>
        </is>
      </c>
      <c r="B52" s="15" t="n"/>
      <c r="C52" s="15" t="n"/>
      <c r="D52" s="15" t="n"/>
      <c r="E52" s="15" t="n"/>
      <c r="F52" s="15" t="n"/>
      <c r="G52" s="15" t="n"/>
      <c r="H52" s="15" t="n"/>
    </row>
    <row r="53" ht="17" customHeight="1">
      <c r="A53" s="16" t="inlineStr">
        <is>
          <t>For planning only. Not a commitment to lend, and not tax, legal, or investment advice. Equal Housing Opportunity.</t>
        </is>
      </c>
    </row>
  </sheetData>
  <mergeCells count="21">
    <mergeCell ref="C41:H41"/>
    <mergeCell ref="C47:H47"/>
    <mergeCell ref="C50:H50"/>
    <mergeCell ref="C44:H44"/>
    <mergeCell ref="C40:H40"/>
    <mergeCell ref="C43:H43"/>
    <mergeCell ref="C46:H46"/>
    <mergeCell ref="C39:H39"/>
    <mergeCell ref="C48:H48"/>
    <mergeCell ref="C7:H7"/>
    <mergeCell ref="C38:H38"/>
    <mergeCell ref="A2:H2"/>
    <mergeCell ref="C49:H49"/>
    <mergeCell ref="C3:H3"/>
    <mergeCell ref="C6:H6"/>
    <mergeCell ref="C42:H42"/>
    <mergeCell ref="A53:H53"/>
    <mergeCell ref="C5:H5"/>
    <mergeCell ref="A52:H52"/>
    <mergeCell ref="C45:H45"/>
    <mergeCell ref="C4:H4"/>
  </mergeCells>
  <dataValidations count="2">
    <dataValidation sqref="B4 B5 B6" showDropDown="0" showInputMessage="0" showErrorMessage="1" allowBlank="1" errorTitle="Check this entry" error="Enter a yearly percent between -20% and 30%, with the % sign." type="decimal" operator="between">
      <formula1>-0.2</formula1>
      <formula2>0.3</formula2>
    </dataValidation>
    <dataValidation sqref="B7" showDropDown="0" showInputMessage="0" showErrorMessage="1" allowBlank="1" errorTitle="Check this entry" error="Enter a percent from 0% to 100%, with the % sign." type="decimal" operator="between">
      <formula1>0</formula1>
      <formula2>1</formula2>
    </dataValidation>
  </dataValidations>
  <printOptions horizontalCentered="1"/>
  <pageMargins left="0.4" right="0.4" top="0.5" bottom="0.6" header="0.5" footer="0.3"/>
  <pageSetup orientation="landscape" paperSize="1" fitToHeight="0" fitToWidth="1"/>
  <headerFooter>
    <oddHeader/>
    <oddFooter>&amp;L&amp;"Calibri,Regular"&amp;8 &amp;K5A5245Alura Capital | NMLS 2103836 | NEXA Mortgage LLC, NMLS 1660690 | Equal Housing Opportunity&amp;R&amp;"Calibri,Regular"&amp;8 &amp;K5A5245Page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B8892A"/>
    <outlinePr summaryBelow="1" summaryRight="1"/>
    <pageSetUpPr fitToPage="1"/>
  </sheetPr>
  <dimension ref="A1:F26"/>
  <sheetViews>
    <sheetView showGridLines="0" workbookViewId="0">
      <pane ySplit="3" topLeftCell="A4" activePane="bottomLeft" state="frozen"/>
      <selection pane="bottomLeft" activeCell="A1" sqref="A1"/>
    </sheetView>
  </sheetViews>
  <sheetFormatPr baseColWidth="8" defaultRowHeight="15"/>
  <cols>
    <col width="48" customWidth="1" min="1" max="1"/>
    <col width="15" customWidth="1" min="2" max="2"/>
    <col width="3" customWidth="1" min="3" max="3"/>
    <col width="44" customWidth="1" min="4" max="4"/>
    <col width="15" customWidth="1" min="5" max="5"/>
    <col width="50" customWidth="1" min="6" max="6"/>
  </cols>
  <sheetData>
    <row r="1" ht="38" customHeight="1">
      <c r="A1" s="1" t="inlineStr">
        <is>
          <r>
            <rPr>
              <rFont val="Calibri"/>
              <b val="1"/>
              <color rgb="FF14110C"/>
              <sz val="18"/>
            </rPr>
            <t>BRRRR and Flip</t>
          </r>
          <r>
            <rPr>
              <rFont val="Calibri"/>
              <color rgb="FF5A5245"/>
              <sz val="10"/>
            </rPr>
            <t xml:space="preserve">     alura-deal-analyzer.xlsx</t>
          </r>
        </is>
      </c>
      <c r="B1" s="2" t="n"/>
      <c r="C1" s="2" t="n"/>
      <c r="D1" s="2" t="n"/>
      <c r="E1" s="2" t="n"/>
      <c r="F1" s="2" t="n"/>
    </row>
    <row r="2" ht="20" customHeight="1">
      <c r="A2" s="3" t="inlineStr">
        <is>
          <t>How to use: enter the purchase, rehab, loan and exit numbers in the gold cells. Results cover the 70 percent rule, the BRRRR refinance and the flip.</t>
        </is>
      </c>
    </row>
    <row r="3" ht="22" customHeight="1">
      <c r="A3" s="4" t="inlineStr">
        <is>
          <t>Inputs</t>
        </is>
      </c>
      <c r="B3" s="17" t="inlineStr">
        <is>
          <t>Your numbers</t>
        </is>
      </c>
      <c r="D3" s="4" t="inlineStr">
        <is>
          <t>Results</t>
        </is>
      </c>
      <c r="E3" s="17" t="inlineStr">
        <is>
          <t>Value</t>
        </is>
      </c>
      <c r="F3" s="4" t="inlineStr">
        <is>
          <t>How it is figured</t>
        </is>
      </c>
    </row>
    <row r="4" ht="22" customHeight="1">
      <c r="A4" s="18" t="inlineStr">
        <is>
          <t>PURCHASE AND REHAB</t>
        </is>
      </c>
      <c r="B4" s="19" t="n"/>
      <c r="D4" s="18" t="inlineStr">
        <is>
          <t>OFFER CHECK</t>
        </is>
      </c>
      <c r="E4" s="19" t="n"/>
      <c r="F4" s="19" t="n"/>
    </row>
    <row r="5" ht="17" customHeight="1">
      <c r="A5" s="20" t="inlineStr">
        <is>
          <t>Purchase price</t>
        </is>
      </c>
      <c r="B5" s="8" t="n">
        <v>205000</v>
      </c>
      <c r="D5" s="12" t="inlineStr">
        <is>
          <t>Max offer by the 70 percent rule</t>
        </is>
      </c>
      <c r="E5" s="28">
        <f>$B$14*0.7-$B$6</f>
        <v/>
      </c>
      <c r="F5" s="21" t="inlineStr">
        <is>
          <t>ARV x 0.70 minus rehab</t>
        </is>
      </c>
    </row>
    <row r="6" ht="17" customHeight="1">
      <c r="A6" s="20" t="inlineStr">
        <is>
          <t>Rehab budget</t>
        </is>
      </c>
      <c r="B6" s="8" t="n">
        <v>60000</v>
      </c>
      <c r="D6" s="12" t="inlineStr">
        <is>
          <t>Your price vs. the 70 percent rule</t>
        </is>
      </c>
      <c r="E6" s="25">
        <f>IF($B$5&lt;=$E$5,"At or under the 70 percent rule max offer","Above the 70 percent rule max offer")</f>
        <v/>
      </c>
      <c r="F6" s="26" t="n"/>
    </row>
    <row r="7" ht="22" customHeight="1">
      <c r="A7" s="20" t="inlineStr">
        <is>
          <t>Purchase closing costs (include lender points)</t>
        </is>
      </c>
      <c r="B7" s="8" t="n">
        <v>5500</v>
      </c>
      <c r="D7" s="18" t="inlineStr">
        <is>
          <t>COSTS THROUGH THE HOLD</t>
        </is>
      </c>
      <c r="E7" s="19" t="n"/>
      <c r="F7" s="19" t="n"/>
    </row>
    <row r="8" ht="17" customHeight="1">
      <c r="A8" s="20" t="inlineStr">
        <is>
          <t>Holding months (purchase to refinance or sale)</t>
        </is>
      </c>
      <c r="B8" s="27" t="n">
        <v>6</v>
      </c>
      <c r="D8" s="20" t="inlineStr">
        <is>
          <t>Purchase loan amount</t>
        </is>
      </c>
      <c r="E8" s="10">
        <f>$B$11*($B$5+$B$6)</f>
        <v/>
      </c>
      <c r="F8" s="21" t="inlineStr">
        <is>
          <t>Loan-to-cost x (price + rehab)</t>
        </is>
      </c>
    </row>
    <row r="9" ht="17" customHeight="1">
      <c r="A9" s="20" t="inlineStr">
        <is>
          <t>Monthly holding costs (taxes, insurance, utilities)</t>
        </is>
      </c>
      <c r="B9" s="8" t="n">
        <v>1050</v>
      </c>
      <c r="D9" s="20" t="inlineStr">
        <is>
          <t>Holding costs</t>
        </is>
      </c>
      <c r="E9" s="10">
        <f>$B$8*$B$9</f>
        <v/>
      </c>
      <c r="F9" s="21" t="inlineStr">
        <is>
          <t>Holding months x monthly holding costs</t>
        </is>
      </c>
    </row>
    <row r="10" ht="22" customHeight="1">
      <c r="A10" s="18" t="inlineStr">
        <is>
          <t>PURCHASE LOAN, INTEREST ONLY DURING THE HOLD</t>
        </is>
      </c>
      <c r="B10" s="19" t="n"/>
      <c r="D10" s="20" t="inlineStr">
        <is>
          <t>Financing costs (interest during the hold)</t>
        </is>
      </c>
      <c r="E10" s="10">
        <f>$E$8*$B$12/12*$B$8</f>
        <v/>
      </c>
      <c r="F10" s="21" t="inlineStr">
        <is>
          <t>Interest only on the full loan; rehab draws can lower it</t>
        </is>
      </c>
    </row>
    <row r="11" ht="17" customHeight="1">
      <c r="A11" s="20" t="inlineStr">
        <is>
          <t>Loan-to-cost, percent of price plus rehab</t>
        </is>
      </c>
      <c r="B11" s="22" t="n">
        <v>0.85</v>
      </c>
      <c r="D11" s="12" t="inlineStr">
        <is>
          <t>All-in cost</t>
        </is>
      </c>
      <c r="E11" s="28">
        <f>$B$5+$B$7+$B$6+$E$9+$E$10</f>
        <v/>
      </c>
      <c r="F11" s="21" t="inlineStr">
        <is>
          <t>Price + closing + rehab + holding + financing</t>
        </is>
      </c>
    </row>
    <row r="12" ht="17" customHeight="1">
      <c r="A12" s="20" t="inlineStr">
        <is>
          <t>Interest rate</t>
        </is>
      </c>
      <c r="B12" s="24" t="n">
        <v>0.11</v>
      </c>
      <c r="D12" s="20" t="inlineStr">
        <is>
          <t>All-in cost as a percent of ARV</t>
        </is>
      </c>
      <c r="E12" s="32">
        <f>IF($B$14&gt;0,$E$11/$B$14,0)</f>
        <v/>
      </c>
      <c r="F12" s="21" t="inlineStr">
        <is>
          <t>At or under the refinance LTV leaves little cash in</t>
        </is>
      </c>
    </row>
    <row r="13" ht="22" customHeight="1">
      <c r="A13" s="18" t="inlineStr">
        <is>
          <t>EXIT</t>
        </is>
      </c>
      <c r="B13" s="19" t="n"/>
      <c r="D13" s="12" t="inlineStr">
        <is>
          <t>Cash invested</t>
        </is>
      </c>
      <c r="E13" s="28">
        <f>$E$11-$E$8</f>
        <v/>
      </c>
      <c r="F13" s="21" t="inlineStr">
        <is>
          <t>All-in cost minus the purchase loan</t>
        </is>
      </c>
    </row>
    <row r="14" ht="22" customHeight="1">
      <c r="A14" s="20" t="inlineStr">
        <is>
          <t>After-repair value (ARV)</t>
        </is>
      </c>
      <c r="B14" s="8" t="n">
        <v>370000</v>
      </c>
      <c r="D14" s="18" t="inlineStr">
        <is>
          <t>BRRRR: REFINANCE AND HOLD</t>
        </is>
      </c>
      <c r="E14" s="19" t="n"/>
      <c r="F14" s="19" t="n"/>
    </row>
    <row r="15" ht="17" customHeight="1">
      <c r="A15" s="20" t="inlineStr">
        <is>
          <t>Refinance LTV, percent of ARV</t>
        </is>
      </c>
      <c r="B15" s="22" t="n">
        <v>0.75</v>
      </c>
      <c r="D15" s="20" t="inlineStr">
        <is>
          <t>Refinance loan amount</t>
        </is>
      </c>
      <c r="E15" s="10">
        <f>$B$14*$B$15</f>
        <v/>
      </c>
      <c r="F15" s="21" t="inlineStr">
        <is>
          <t>ARV x refinance LTV</t>
        </is>
      </c>
    </row>
    <row r="16" ht="17" customHeight="1">
      <c r="A16" s="20" t="inlineStr">
        <is>
          <t>Refinance closing costs</t>
        </is>
      </c>
      <c r="B16" s="8" t="n">
        <v>7000</v>
      </c>
      <c r="D16" s="20" t="inlineStr">
        <is>
          <t>Cash back at refinance</t>
        </is>
      </c>
      <c r="E16" s="10">
        <f>$E$15-$E$8-$B$16</f>
        <v/>
      </c>
      <c r="F16" s="21" t="inlineStr">
        <is>
          <t>Refi loan minus purchase loan payoff and refi costs</t>
        </is>
      </c>
    </row>
    <row r="17" ht="17" customHeight="1">
      <c r="A17" s="20" t="inlineStr">
        <is>
          <t>Selling costs, percent of ARV (flip case)</t>
        </is>
      </c>
      <c r="B17" s="22" t="n">
        <v>0.07000000000000001</v>
      </c>
      <c r="D17" s="12" t="inlineStr">
        <is>
          <t>Cash left in the deal</t>
        </is>
      </c>
      <c r="E17" s="28">
        <f>$E$13-$E$16</f>
        <v/>
      </c>
      <c r="F17" s="21" t="inlineStr">
        <is>
          <t>Negative means you pulled out more than you put in</t>
        </is>
      </c>
    </row>
    <row r="18" ht="17" customHeight="1">
      <c r="D18" s="12" t="inlineStr">
        <is>
          <t>What that means</t>
        </is>
      </c>
      <c r="E18" s="25">
        <f>IF($E$17&lt;0,"Negative: you pulled out more cash than you put in",IF($E$17=0,"Zero: all of your cash came back at the refinance","Positive: this much of your cash stays in the deal"))</f>
        <v/>
      </c>
      <c r="F18" s="26" t="n"/>
    </row>
    <row r="19" ht="22" customHeight="1">
      <c r="D19" s="18" t="inlineStr">
        <is>
          <t>FLIP: SELL AFTER REHAB</t>
        </is>
      </c>
      <c r="E19" s="19" t="n"/>
      <c r="F19" s="19" t="n"/>
    </row>
    <row r="20" ht="17" customHeight="1">
      <c r="D20" s="20" t="inlineStr">
        <is>
          <t>Flip gross profit</t>
        </is>
      </c>
      <c r="E20" s="10">
        <f>$B$14-$B$5-$B$6-$B$7</f>
        <v/>
      </c>
      <c r="F20" s="21" t="inlineStr">
        <is>
          <t>ARV minus price, rehab and purchase closing</t>
        </is>
      </c>
    </row>
    <row r="21" ht="17" customHeight="1">
      <c r="D21" s="20" t="inlineStr">
        <is>
          <t>Selling costs</t>
        </is>
      </c>
      <c r="E21" s="10">
        <f>$B$14*$B$17</f>
        <v/>
      </c>
      <c r="F21" s="21" t="inlineStr">
        <is>
          <t>ARV x selling costs percent</t>
        </is>
      </c>
    </row>
    <row r="22" ht="17" customHeight="1">
      <c r="D22" s="12" t="inlineStr">
        <is>
          <t>Flip net profit</t>
        </is>
      </c>
      <c r="E22" s="28">
        <f>$E$20-$E$21-$E$9-$E$10</f>
        <v/>
      </c>
      <c r="F22" s="21" t="inlineStr">
        <is>
          <t>After selling, holding and financing costs</t>
        </is>
      </c>
    </row>
    <row r="23" ht="17" customHeight="1">
      <c r="D23" s="12" t="inlineStr">
        <is>
          <t>Flip ROI on cash invested</t>
        </is>
      </c>
      <c r="E23" s="35">
        <f>IF($E$13&gt;0,$E$22/$E$13,0)</f>
        <v/>
      </c>
      <c r="F23" s="21" t="inlineStr">
        <is>
          <t>Flip net profit / cash invested</t>
        </is>
      </c>
    </row>
    <row r="24"/>
    <row r="25" ht="17" customHeight="1">
      <c r="A25" s="14" t="inlineStr">
        <is>
          <t>Alura Capital | George Schembri III, NMLS 2103836 | Loans originated by NEXA Mortgage LLC, NMLS 1660690 | Licensed in Florida | (813) 356-9448 | info@aluracapital.com</t>
        </is>
      </c>
      <c r="B25" s="15" t="n"/>
      <c r="C25" s="15" t="n"/>
      <c r="D25" s="15" t="n"/>
      <c r="E25" s="15" t="n"/>
      <c r="F25" s="15" t="n"/>
    </row>
    <row r="26" ht="17" customHeight="1">
      <c r="A26" s="16" t="inlineStr">
        <is>
          <t>For planning only. Not a commitment to lend, and not tax, legal, or investment advice. Equal Housing Opportunity.</t>
        </is>
      </c>
    </row>
  </sheetData>
  <mergeCells count="5">
    <mergeCell ref="A2:F2"/>
    <mergeCell ref="E6:F6"/>
    <mergeCell ref="A26:F26"/>
    <mergeCell ref="E18:F18"/>
    <mergeCell ref="A25:F25"/>
  </mergeCells>
  <dataValidations count="4">
    <dataValidation sqref="B5 B6 B7 B9 B14 B16" showDropDown="0" showInputMessage="0" showErrorMessage="1" allowBlank="1" errorTitle="Check this entry" error="Enter a dollar amount of zero or more." type="decimal" operator="greaterThanOrEqual">
      <formula1>0</formula1>
    </dataValidation>
    <dataValidation sqref="B8" showDropDown="0" showInputMessage="0" showErrorMessage="1" allowBlank="1" errorTitle="Check this entry" error="Enter whole months from 0 to 60." type="whole" operator="between">
      <formula1>0</formula1>
      <formula2>60</formula2>
    </dataValidation>
    <dataValidation sqref="B11 B15 B17" showDropDown="0" showInputMessage="0" showErrorMessage="1" allowBlank="1" errorTitle="Check this entry" error="Enter a percent from 0% to 100%, with the % sign." type="decimal" operator="between">
      <formula1>0</formula1>
      <formula2>1</formula2>
    </dataValidation>
    <dataValidation sqref="B12" showDropDown="0" showInputMessage="0" showErrorMessage="1" allowBlank="1" errorTitle="Check this entry" error="Enter the interest rate as a percent, for example 7.25%." type="decimal" operator="between">
      <formula1>0</formula1>
      <formula2>0.3</formula2>
    </dataValidation>
  </dataValidations>
  <printOptions horizontalCentered="1"/>
  <pageMargins left="0.4" right="0.4" top="0.5" bottom="0.6" header="0.5" footer="0.3"/>
  <pageSetup orientation="landscape" paperSize="1" fitToHeight="1" fitToWidth="1"/>
  <headerFooter>
    <oddHeader/>
    <oddFooter>&amp;L&amp;"Calibri,Regular"&amp;8 &amp;K5A5245Alura Capital | NMLS 2103836 | NEXA Mortgage LLC, NMLS 1660690 | Equal Housing Opportunity&amp;R&amp;"Calibri,Regular"&amp;8 &amp;K5A5245Page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B8892A"/>
    <outlinePr summaryBelow="1" summaryRight="1"/>
    <pageSetUpPr fitToPage="1"/>
  </sheetPr>
  <dimension ref="A1:F24"/>
  <sheetViews>
    <sheetView showGridLines="0" workbookViewId="0">
      <pane ySplit="3" topLeftCell="A4" activePane="bottomLeft" state="frozen"/>
      <selection pane="bottomLeft" activeCell="A1" sqref="A1"/>
    </sheetView>
  </sheetViews>
  <sheetFormatPr baseColWidth="8" defaultRowHeight="15"/>
  <cols>
    <col width="44" customWidth="1" min="1" max="1"/>
    <col width="15" customWidth="1" min="2" max="2"/>
    <col width="3" customWidth="1" min="3" max="3"/>
    <col width="46" customWidth="1" min="4" max="4"/>
    <col width="15" customWidth="1" min="5" max="5"/>
    <col width="50" customWidth="1" min="6" max="6"/>
  </cols>
  <sheetData>
    <row r="1" ht="38" customHeight="1">
      <c r="A1" s="1" t="inlineStr">
        <is>
          <r>
            <rPr>
              <rFont val="Calibri"/>
              <b val="1"/>
              <color rgb="FF14110C"/>
              <sz val="18"/>
            </rPr>
            <t>Commercial Loan Sizing</t>
          </r>
          <r>
            <rPr>
              <rFont val="Calibri"/>
              <color rgb="FF5A5245"/>
              <sz val="10"/>
            </rPr>
            <t xml:space="preserve">     alura-deal-analyzer.xlsx</t>
          </r>
        </is>
      </c>
      <c r="B1" s="2" t="n"/>
      <c r="C1" s="2" t="n"/>
      <c r="D1" s="2" t="n"/>
      <c r="E1" s="2" t="n"/>
      <c r="F1" s="2" t="n"/>
    </row>
    <row r="2" ht="20" customHeight="1">
      <c r="A2" s="3" t="inlineStr">
        <is>
          <t>How to use: enter the NOI, the value and the lender's limits in the gold cells. The tab sizes the loan three ways and uses the lowest. Every lender limit needs a value above zero.</t>
        </is>
      </c>
    </row>
    <row r="3" ht="22" customHeight="1">
      <c r="A3" s="4" t="inlineStr">
        <is>
          <t>Inputs</t>
        </is>
      </c>
      <c r="B3" s="17" t="inlineStr">
        <is>
          <t>Your numbers</t>
        </is>
      </c>
      <c r="D3" s="4" t="inlineStr">
        <is>
          <t>Results</t>
        </is>
      </c>
      <c r="E3" s="17" t="inlineStr">
        <is>
          <t>Value</t>
        </is>
      </c>
      <c r="F3" s="4" t="inlineStr">
        <is>
          <t>How it is figured</t>
        </is>
      </c>
    </row>
    <row r="4" ht="22" customHeight="1">
      <c r="A4" s="18" t="inlineStr">
        <is>
          <t>PROPERTY</t>
        </is>
      </c>
      <c r="B4" s="19" t="n"/>
      <c r="D4" s="18" t="inlineStr">
        <is>
          <t>VALUE</t>
        </is>
      </c>
      <c r="E4" s="19" t="n"/>
      <c r="F4" s="19" t="n"/>
    </row>
    <row r="5" ht="17" customHeight="1">
      <c r="A5" s="20" t="inlineStr">
        <is>
          <t>Net operating income (NOI), annual</t>
        </is>
      </c>
      <c r="B5" s="8" t="n">
        <v>168000</v>
      </c>
      <c r="D5" s="20" t="inlineStr">
        <is>
          <t>Value from cap rate</t>
        </is>
      </c>
      <c r="E5" s="10">
        <f>IF($B$7&gt;0,$B$5/$B$7,0)</f>
        <v/>
      </c>
      <c r="F5" s="21" t="inlineStr">
        <is>
          <t>NOI / market cap rate</t>
        </is>
      </c>
    </row>
    <row r="6" ht="17" customHeight="1">
      <c r="A6" s="20" t="inlineStr">
        <is>
          <t>Purchase price or appraised value</t>
        </is>
      </c>
      <c r="B6" s="8" t="n">
        <v>2400000</v>
      </c>
      <c r="D6" s="12" t="inlineStr">
        <is>
          <t>Value used for the LTV test</t>
        </is>
      </c>
      <c r="E6" s="28">
        <f>IF(AND($B$8="Price",$B$6&gt;0),$B$6,$E$5)</f>
        <v/>
      </c>
      <c r="F6" s="21" t="inlineStr">
        <is>
          <t>The price, unless you pick Cap rate or leave price blank</t>
        </is>
      </c>
    </row>
    <row r="7" ht="17" customHeight="1">
      <c r="A7" s="20" t="inlineStr">
        <is>
          <t>Market cap rate</t>
        </is>
      </c>
      <c r="B7" s="24" t="n">
        <v>0.0725</v>
      </c>
      <c r="D7" s="12" t="inlineStr">
        <is>
          <t>Value basis in use</t>
        </is>
      </c>
      <c r="E7" s="25">
        <f>IF(AND($B$8="Price",$B$6&gt;0),"Purchase price or appraised value","NOI divided by the market cap rate")</f>
        <v/>
      </c>
      <c r="F7" s="26" t="n"/>
    </row>
    <row r="8" ht="22" customHeight="1">
      <c r="A8" s="20" t="inlineStr">
        <is>
          <t>Value to use: Price or Cap rate (pick one)</t>
        </is>
      </c>
      <c r="B8" s="37" t="inlineStr">
        <is>
          <t>Price</t>
        </is>
      </c>
      <c r="D8" s="18" t="inlineStr">
        <is>
          <t>MAX LOAN BY EACH TEST</t>
        </is>
      </c>
      <c r="E8" s="19" t="n"/>
      <c r="F8" s="19" t="n"/>
    </row>
    <row r="9" ht="22" customHeight="1">
      <c r="A9" s="18" t="inlineStr">
        <is>
          <t>LENDER LIMITS</t>
        </is>
      </c>
      <c r="B9" s="19" t="n"/>
      <c r="D9" s="20" t="inlineStr">
        <is>
          <t>Max loan by LTV</t>
        </is>
      </c>
      <c r="E9" s="10">
        <f>$E$6*$B$10</f>
        <v/>
      </c>
      <c r="F9" s="21" t="inlineStr">
        <is>
          <t>Value used x maximum LTV</t>
        </is>
      </c>
    </row>
    <row r="10" ht="17" customHeight="1">
      <c r="A10" s="20" t="inlineStr">
        <is>
          <t>Maximum LTV</t>
        </is>
      </c>
      <c r="B10" s="22" t="n">
        <v>0.7</v>
      </c>
      <c r="D10" s="20" t="inlineStr">
        <is>
          <t>Max annual debt service at the minimum DSCR</t>
        </is>
      </c>
      <c r="E10" s="10">
        <f>IF($B$11&gt;0,$B$5/$B$11,0)</f>
        <v/>
      </c>
      <c r="F10" s="21" t="inlineStr">
        <is>
          <t>NOI / minimum DSCR</t>
        </is>
      </c>
    </row>
    <row r="11" ht="17" customHeight="1">
      <c r="A11" s="20" t="inlineStr">
        <is>
          <t>Minimum DSCR</t>
        </is>
      </c>
      <c r="B11" s="38" t="n">
        <v>1.25</v>
      </c>
      <c r="D11" s="20" t="inlineStr">
        <is>
          <t>Max loan by DSCR</t>
        </is>
      </c>
      <c r="E11" s="10">
        <f>PV($B$14/12,$B$15*12,-$E$10/12)</f>
        <v/>
      </c>
      <c r="F11" s="21" t="inlineStr">
        <is>
          <t>The loan that payment carries at this rate and amortization</t>
        </is>
      </c>
    </row>
    <row r="12" ht="17" customHeight="1">
      <c r="A12" s="20" t="inlineStr">
        <is>
          <t>Minimum debt yield</t>
        </is>
      </c>
      <c r="B12" s="22" t="n">
        <v>0.09</v>
      </c>
      <c r="D12" s="20" t="inlineStr">
        <is>
          <t>Max loan by debt yield</t>
        </is>
      </c>
      <c r="E12" s="10">
        <f>IF($B$12&gt;0,$B$5/$B$12,0)</f>
        <v/>
      </c>
      <c r="F12" s="21" t="inlineStr">
        <is>
          <t>NOI / minimum debt yield</t>
        </is>
      </c>
    </row>
    <row r="13" ht="22" customHeight="1">
      <c r="A13" s="18" t="inlineStr">
        <is>
          <t>LOAN TERMS</t>
        </is>
      </c>
      <c r="B13" s="19" t="n"/>
      <c r="D13" s="18" t="inlineStr">
        <is>
          <t>RESULT</t>
        </is>
      </c>
      <c r="E13" s="19" t="n"/>
      <c r="F13" s="19" t="n"/>
    </row>
    <row r="14" ht="17" customHeight="1">
      <c r="A14" s="20" t="inlineStr">
        <is>
          <t>Interest rate</t>
        </is>
      </c>
      <c r="B14" s="24" t="n">
        <v>0.0675</v>
      </c>
      <c r="D14" s="12" t="inlineStr">
        <is>
          <t>Max loan (lowest of the three tests)</t>
        </is>
      </c>
      <c r="E14" s="28">
        <f>MIN($E$9,$E$11,$E$12)</f>
        <v/>
      </c>
      <c r="F14" s="21" t="inlineStr">
        <is>
          <t>Lenders size the loan to the lowest of the three</t>
        </is>
      </c>
    </row>
    <row r="15" ht="17" customHeight="1">
      <c r="A15" s="20" t="inlineStr">
        <is>
          <t>Amortization, years</t>
        </is>
      </c>
      <c r="B15" s="27" t="n">
        <v>25</v>
      </c>
      <c r="D15" s="12" t="inlineStr">
        <is>
          <t>Test that limits the loan</t>
        </is>
      </c>
      <c r="E15" s="25">
        <f>IF($E$14=$E$9,"LTV limits this loan",IF($E$14=$E$11,"DSCR limits this loan","Debt yield limits this loan"))</f>
        <v/>
      </c>
      <c r="F15" s="26" t="n"/>
    </row>
    <row r="16" ht="17" customHeight="1">
      <c r="D16" s="20" t="inlineStr">
        <is>
          <t>Monthly payment at this loan</t>
        </is>
      </c>
      <c r="E16" s="10">
        <f>PMT($B$14/12,$B$15*12,-$E$14)</f>
        <v/>
      </c>
      <c r="F16" s="21" t="inlineStr">
        <is>
          <t>Principal and interest</t>
        </is>
      </c>
    </row>
    <row r="17" ht="17" customHeight="1">
      <c r="D17" s="20" t="inlineStr">
        <is>
          <t>Annual debt service</t>
        </is>
      </c>
      <c r="E17" s="10">
        <f>$E$16*12</f>
        <v/>
      </c>
      <c r="F17" s="21" t="inlineStr">
        <is>
          <t>Monthly payment x 12</t>
        </is>
      </c>
    </row>
    <row r="18" ht="17" customHeight="1">
      <c r="D18" s="20" t="inlineStr">
        <is>
          <t>Resulting LTV</t>
        </is>
      </c>
      <c r="E18" s="32">
        <f>IF($E$6&gt;0,$E$14/$E$6,0)</f>
        <v/>
      </c>
      <c r="F18" s="21" t="inlineStr">
        <is>
          <t>Loan / value used</t>
        </is>
      </c>
    </row>
    <row r="19" ht="17" customHeight="1">
      <c r="D19" s="20" t="inlineStr">
        <is>
          <t>Resulting DSCR</t>
        </is>
      </c>
      <c r="E19" s="39">
        <f>IF($E$17&gt;0,$B$5/$E$17,0)</f>
        <v/>
      </c>
      <c r="F19" s="21" t="inlineStr">
        <is>
          <t>NOI / annual debt service</t>
        </is>
      </c>
    </row>
    <row r="20" ht="17" customHeight="1">
      <c r="D20" s="20" t="inlineStr">
        <is>
          <t>Resulting debt yield</t>
        </is>
      </c>
      <c r="E20" s="29">
        <f>IF($E$14&gt;0,$B$5/$E$14,0)</f>
        <v/>
      </c>
      <c r="F20" s="21" t="inlineStr">
        <is>
          <t>NOI / loan amount</t>
        </is>
      </c>
    </row>
    <row r="21" ht="17" customHeight="1">
      <c r="D21" s="12" t="inlineStr">
        <is>
          <t>Equity required at the purchase price</t>
        </is>
      </c>
      <c r="E21" s="28">
        <f>IF($B$6&gt;0,$B$6,$E$6)-$E$14</f>
        <v/>
      </c>
      <c r="F21" s="21" t="inlineStr">
        <is>
          <t>Down payment before closing costs and reserves</t>
        </is>
      </c>
    </row>
    <row r="22"/>
    <row r="23" ht="17" customHeight="1">
      <c r="A23" s="14" t="inlineStr">
        <is>
          <t>Alura Capital | George Schembri III, NMLS 2103836 | Loans originated by NEXA Mortgage LLC, NMLS 1660690 | Licensed in Florida | (813) 356-9448 | info@aluracapital.com</t>
        </is>
      </c>
      <c r="B23" s="15" t="n"/>
      <c r="C23" s="15" t="n"/>
      <c r="D23" s="15" t="n"/>
      <c r="E23" s="15" t="n"/>
      <c r="F23" s="15" t="n"/>
    </row>
    <row r="24" ht="17" customHeight="1">
      <c r="A24" s="16" t="inlineStr">
        <is>
          <t>For planning only. Not a commitment to lend, and not tax, legal, or investment advice. Equal Housing Opportunity.</t>
        </is>
      </c>
    </row>
  </sheetData>
  <mergeCells count="5">
    <mergeCell ref="A24:F24"/>
    <mergeCell ref="A2:F2"/>
    <mergeCell ref="E15:F15"/>
    <mergeCell ref="E7:F7"/>
    <mergeCell ref="A23:F23"/>
  </mergeCells>
  <dataValidations count="6">
    <dataValidation sqref="B5 B6" showDropDown="0" showInputMessage="0" showErrorMessage="1" allowBlank="1" errorTitle="Check this entry" error="Enter a dollar amount of zero or more." type="decimal" operator="greaterThanOrEqual">
      <formula1>0</formula1>
    </dataValidation>
    <dataValidation sqref="B7 B10 B12" showDropDown="0" showInputMessage="0" showErrorMessage="1" allowBlank="1" errorTitle="Check this entry" error="Enter a percent above 0% and up to 100%, with the % sign." type="decimal" operator="between">
      <formula1>0.0001</formula1>
      <formula2>1</formula2>
    </dataValidation>
    <dataValidation sqref="B8" showDropDown="0" showInputMessage="1" showErrorMessage="1" allowBlank="1" errorTitle="Check this entry" error="Pick Price or Cap rate from the list." promptTitle="Value to use" prompt="Price uses the purchase price or appraised value. Cap rate uses NOI / cap rate." type="list">
      <formula1>"Price,Cap rate"</formula1>
    </dataValidation>
    <dataValidation sqref="B11" showDropDown="0" showInputMessage="0" showErrorMessage="1" allowBlank="1" errorTitle="Check this entry" error="Enter a value above zero." type="decimal" operator="greaterThan">
      <formula1>0</formula1>
    </dataValidation>
    <dataValidation sqref="B14" showDropDown="0" showInputMessage="0" showErrorMessage="1" allowBlank="1" errorTitle="Check this entry" error="Enter the interest rate as a percent, for example 7.25%." type="decimal" operator="between">
      <formula1>0</formula1>
      <formula2>0.3</formula2>
    </dataValidation>
    <dataValidation sqref="B15" showDropDown="0" showInputMessage="0" showErrorMessage="1" allowBlank="1" errorTitle="Check this entry" error="Enter whole years from 1 to 40." type="whole" operator="between">
      <formula1>1</formula1>
      <formula2>40</formula2>
    </dataValidation>
  </dataValidations>
  <printOptions horizontalCentered="1"/>
  <pageMargins left="0.4" right="0.4" top="0.5" bottom="0.6" header="0.5" footer="0.3"/>
  <pageSetup orientation="landscape" paperSize="1" fitToHeight="1" fitToWidth="1"/>
  <headerFooter>
    <oddHeader/>
    <oddFooter>&amp;L&amp;"Calibri,Regular"&amp;8 &amp;K5A5245Alura Capital | NMLS 2103836 | NEXA Mortgage LLC, NMLS 1660690 | Equal Housing Opportunity&amp;R&amp;"Calibri,Regular"&amp;8 &amp;K5A5245Page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Alura Capital</dc:creator>
  <dc:title>Alura Capital Deal Analyzer</dc:title>
  <dc:subject>Rental, pro forma, BRRRR and flip, and commercial loan sizing for real estate investors</dc:subject>
  <dcterms:created xsi:type="dcterms:W3CDTF">2026-09-29T00:06:51Z</dcterms:created>
  <dcterms:modified xsi:type="dcterms:W3CDTF">2026-09-29T00:06:51Z</dcterms:modified>
  <cp:keywords>Alura Capital, DSCR, NOI, cap rate, BRRRR, commercial loan sizing, NMLS 2103836</cp:keywords>
</cp:coreProperties>
</file>